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https://citepa-my.sharepoint.com/personal/nathan_vandromme_citepa_org/Documents/1784_DGPR 2020/Outil carrière/"/>
    </mc:Choice>
  </mc:AlternateContent>
  <xr:revisionPtr revIDLastSave="3" documentId="13_ncr:1_{1DC29228-E071-43D5-B106-3B6F82755CA4}" xr6:coauthVersionLast="46" xr6:coauthVersionMax="46" xr10:uidLastSave="{168FB247-BC23-4C82-B99B-99CA0A437D0D}"/>
  <bookViews>
    <workbookView xWindow="-120" yWindow="-120" windowWidth="29040" windowHeight="15840" tabRatio="825" activeTab="5" xr2:uid="{00000000-000D-0000-FFFF-FFFF00000000}"/>
  </bookViews>
  <sheets>
    <sheet name="Avant-propos" sheetId="14" r:id="rId1"/>
    <sheet name="Fiche de renseignements" sheetId="11" r:id="rId2"/>
    <sheet name="Autres substances" sheetId="1" r:id="rId3"/>
    <sheet name="Fiche n°1 - Forage Minage" sheetId="2" r:id="rId4"/>
    <sheet name="Fiche n°2 - Traitement" sheetId="7" r:id="rId5"/>
    <sheet name="Fiche n°3 - Transport interne" sheetId="3" r:id="rId6"/>
    <sheet name="Fiches n°4 et 5 - Stock" sheetId="10" r:id="rId7"/>
  </sheets>
  <externalReferences>
    <externalReference r:id="rId8"/>
  </externalReferences>
  <definedNames>
    <definedName name="_xlnm._FilterDatabase" localSheetId="1" hidden="1">'Fiche de renseignements'!$A$247:$B$482</definedName>
    <definedName name="_xlnm._FilterDatabase" localSheetId="4" hidden="1">'Fiche n°2 - Traitement'!#REF!</definedName>
    <definedName name="_xlnm._FilterDatabase" localSheetId="6" hidden="1">'Fiches n°4 et 5 - Stock'!$N$87:$Q$87</definedName>
    <definedName name="_Order1" hidden="1">255</definedName>
    <definedName name="_Order2" hidden="1">255</definedName>
    <definedName name="Périmètre">[1]générique!#REF!</definedName>
    <definedName name="_xlnm.Print_Area" localSheetId="2">'Autres substances'!$A$1:$J$38</definedName>
    <definedName name="_xlnm.Print_Area" localSheetId="0">'Avant-propos'!$A$1:$O$23</definedName>
    <definedName name="_xlnm.Print_Area" localSheetId="1">'Fiche de renseignements'!$A$1:$L$190</definedName>
    <definedName name="_xlnm.Print_Area" localSheetId="3">'Fiche n°1 - Forage Minage'!$A$1:$F$43</definedName>
    <definedName name="_xlnm.Print_Area" localSheetId="4">'Fiche n°2 - Traitement'!$A$1:$N$81</definedName>
    <definedName name="_xlnm.Print_Area" localSheetId="5">'Fiche n°3 - Transport interne'!$A$1:$J$69</definedName>
    <definedName name="_xlnm.Print_Area" localSheetId="6">'Fiches n°4 et 5 - Stock'!$A$1:$H$80</definedName>
    <definedName name="zzzzzzzzzzzzzzz">[1]générique!#REF!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1" l="1"/>
  <c r="E180" i="11" l="1"/>
  <c r="G13" i="11" l="1"/>
  <c r="C99" i="3" l="1"/>
  <c r="G71" i="10" l="1"/>
  <c r="F71" i="10"/>
  <c r="E71" i="10"/>
  <c r="D71" i="10"/>
  <c r="C171" i="3" l="1"/>
  <c r="E14" i="11"/>
  <c r="E15" i="11"/>
  <c r="E16" i="11"/>
  <c r="E17" i="11"/>
  <c r="D69" i="1" l="1"/>
  <c r="C69" i="1" s="1"/>
  <c r="D68" i="1"/>
  <c r="C68" i="1" s="1"/>
  <c r="D67" i="1"/>
  <c r="C67" i="1" s="1"/>
  <c r="D66" i="1"/>
  <c r="C66" i="1" s="1"/>
  <c r="D65" i="1"/>
  <c r="C65" i="1" s="1"/>
  <c r="D64" i="1"/>
  <c r="C64" i="1" s="1"/>
  <c r="D62" i="1"/>
  <c r="C62" i="1" s="1"/>
  <c r="D61" i="1"/>
  <c r="C61" i="1" s="1"/>
  <c r="D60" i="1"/>
  <c r="C60" i="1" s="1"/>
  <c r="D59" i="1"/>
  <c r="C59" i="1" s="1"/>
  <c r="D58" i="1"/>
  <c r="C58" i="1" s="1"/>
  <c r="D57" i="1"/>
  <c r="C57" i="1" s="1"/>
  <c r="D55" i="1"/>
  <c r="C55" i="1" s="1"/>
  <c r="D54" i="1"/>
  <c r="C54" i="1" s="1"/>
  <c r="D53" i="1"/>
  <c r="C53" i="1" s="1"/>
  <c r="D52" i="1"/>
  <c r="C52" i="1" s="1"/>
  <c r="D51" i="1"/>
  <c r="C51" i="1" s="1"/>
  <c r="D50" i="1"/>
  <c r="C50" i="1" s="1"/>
  <c r="D48" i="1"/>
  <c r="C48" i="1" s="1"/>
  <c r="D47" i="1"/>
  <c r="C47" i="1" s="1"/>
  <c r="D46" i="1"/>
  <c r="C46" i="1" s="1"/>
  <c r="D45" i="1"/>
  <c r="C45" i="1" s="1"/>
  <c r="D44" i="1"/>
  <c r="C44" i="1" s="1"/>
  <c r="D43" i="1"/>
  <c r="C43" i="1" s="1"/>
  <c r="F44" i="1" l="1"/>
  <c r="F54" i="1" l="1"/>
  <c r="F53" i="1"/>
  <c r="F64" i="1" l="1"/>
  <c r="F65" i="1"/>
  <c r="F57" i="1"/>
  <c r="F58" i="1"/>
  <c r="F50" i="1"/>
  <c r="F51" i="1"/>
  <c r="D49" i="11"/>
  <c r="D50" i="11"/>
  <c r="D51" i="11"/>
  <c r="D52" i="11"/>
  <c r="D53" i="11"/>
  <c r="D54" i="11"/>
  <c r="D55" i="11"/>
  <c r="D56" i="11"/>
  <c r="D57" i="11"/>
  <c r="D58" i="11"/>
  <c r="D48" i="11"/>
  <c r="F30" i="1"/>
  <c r="C12" i="1" s="1"/>
  <c r="F31" i="1"/>
  <c r="C13" i="1" s="1"/>
  <c r="F36" i="1"/>
  <c r="C18" i="1" s="1"/>
  <c r="F66" i="1" l="1"/>
  <c r="F59" i="1"/>
  <c r="F52" i="1"/>
  <c r="F47" i="1"/>
  <c r="F46" i="1"/>
  <c r="E11" i="11"/>
  <c r="F67" i="1" l="1"/>
  <c r="F60" i="1"/>
  <c r="F43" i="1"/>
  <c r="I73" i="7"/>
  <c r="G244" i="11"/>
  <c r="F244" i="11"/>
  <c r="E244" i="11"/>
  <c r="D244" i="11"/>
  <c r="G243" i="11"/>
  <c r="F243" i="11"/>
  <c r="E243" i="11"/>
  <c r="D243" i="11"/>
  <c r="F68" i="1" l="1"/>
  <c r="F69" i="1"/>
  <c r="F61" i="1"/>
  <c r="F62" i="1"/>
  <c r="F55" i="1"/>
  <c r="C24" i="11" l="1"/>
  <c r="B244" i="7"/>
  <c r="B245" i="7"/>
  <c r="B246" i="7"/>
  <c r="B241" i="7"/>
  <c r="B242" i="7"/>
  <c r="B240" i="7"/>
  <c r="B238" i="7"/>
  <c r="B237" i="7"/>
  <c r="B236" i="7"/>
  <c r="C230" i="7" l="1"/>
  <c r="C38" i="7" s="1"/>
  <c r="D232" i="7"/>
  <c r="E39" i="7" s="1"/>
  <c r="D231" i="7"/>
  <c r="D39" i="7" s="1"/>
  <c r="C232" i="7"/>
  <c r="E38" i="7" s="1"/>
  <c r="C231" i="7"/>
  <c r="D38" i="7" s="1"/>
  <c r="D230" i="7"/>
  <c r="C39" i="7" s="1"/>
  <c r="C187" i="7" l="1"/>
  <c r="C188" i="7"/>
  <c r="C189" i="7"/>
  <c r="C190" i="7"/>
  <c r="C191" i="7"/>
  <c r="C192" i="7"/>
  <c r="C193" i="7"/>
  <c r="C194" i="7"/>
  <c r="C195" i="7"/>
  <c r="C196" i="7"/>
  <c r="C197" i="7"/>
  <c r="C198" i="7"/>
  <c r="C199" i="7"/>
  <c r="C200" i="7"/>
  <c r="C186" i="7"/>
  <c r="C173" i="7"/>
  <c r="C174" i="7"/>
  <c r="C175" i="7"/>
  <c r="C176" i="7"/>
  <c r="C177" i="7"/>
  <c r="C178" i="7"/>
  <c r="C179" i="7"/>
  <c r="C180" i="7"/>
  <c r="C181" i="7"/>
  <c r="C182" i="7"/>
  <c r="C183" i="7"/>
  <c r="C184" i="7"/>
  <c r="C172" i="7"/>
  <c r="C162" i="7"/>
  <c r="C163" i="7"/>
  <c r="C164" i="7"/>
  <c r="C165" i="7"/>
  <c r="C166" i="7"/>
  <c r="C167" i="7"/>
  <c r="C168" i="7"/>
  <c r="C169" i="7"/>
  <c r="C170" i="7"/>
  <c r="C161" i="7"/>
  <c r="C151" i="7"/>
  <c r="C152" i="7"/>
  <c r="C153" i="7"/>
  <c r="C154" i="7"/>
  <c r="C155" i="7"/>
  <c r="C156" i="7"/>
  <c r="C157" i="7"/>
  <c r="C158" i="7"/>
  <c r="C159" i="7"/>
  <c r="C150" i="7"/>
  <c r="C140" i="7"/>
  <c r="C141" i="7"/>
  <c r="C142" i="7"/>
  <c r="C143" i="7"/>
  <c r="C144" i="7"/>
  <c r="C145" i="7"/>
  <c r="C146" i="7"/>
  <c r="C147" i="7"/>
  <c r="C148" i="7"/>
  <c r="C139" i="7"/>
  <c r="C129" i="7"/>
  <c r="C130" i="7"/>
  <c r="C131" i="7"/>
  <c r="C132" i="7"/>
  <c r="C133" i="7"/>
  <c r="C134" i="7"/>
  <c r="C135" i="7"/>
  <c r="C136" i="7"/>
  <c r="C137" i="7"/>
  <c r="C128" i="7"/>
  <c r="E61" i="3" l="1"/>
  <c r="C96" i="3" s="1"/>
  <c r="E62" i="3"/>
  <c r="C91" i="3" s="1"/>
  <c r="E50" i="3"/>
  <c r="E51" i="3"/>
  <c r="C83" i="3" s="1"/>
  <c r="E52" i="3"/>
  <c r="C78" i="3"/>
  <c r="B310" i="7"/>
  <c r="B311" i="7"/>
  <c r="B312" i="7"/>
  <c r="B313" i="7"/>
  <c r="B314" i="7"/>
  <c r="B315" i="7"/>
  <c r="B316" i="7"/>
  <c r="B317" i="7"/>
  <c r="B318" i="7"/>
  <c r="B319" i="7"/>
  <c r="B320" i="7"/>
  <c r="B321" i="7"/>
  <c r="B322" i="7"/>
  <c r="B323" i="7"/>
  <c r="B324" i="7"/>
  <c r="B325" i="7"/>
  <c r="B326" i="7"/>
  <c r="B327" i="7"/>
  <c r="B328" i="7"/>
  <c r="B329" i="7"/>
  <c r="B330" i="7"/>
  <c r="B331" i="7"/>
  <c r="B332" i="7"/>
  <c r="B309" i="7"/>
  <c r="G322" i="7"/>
  <c r="G323" i="7"/>
  <c r="G324" i="7"/>
  <c r="G325" i="7"/>
  <c r="G326" i="7"/>
  <c r="G327" i="7"/>
  <c r="G328" i="7"/>
  <c r="G329" i="7"/>
  <c r="G330" i="7"/>
  <c r="G331" i="7"/>
  <c r="G332" i="7"/>
  <c r="G321" i="7"/>
  <c r="I74" i="7"/>
  <c r="G143" i="11" l="1"/>
  <c r="G147" i="11"/>
  <c r="G151" i="11"/>
  <c r="G155" i="11"/>
  <c r="G130" i="11"/>
  <c r="G134" i="11"/>
  <c r="G138" i="11"/>
  <c r="G144" i="11"/>
  <c r="G148" i="11"/>
  <c r="G152" i="11"/>
  <c r="G156" i="11"/>
  <c r="G131" i="11"/>
  <c r="G135" i="11"/>
  <c r="G139" i="11"/>
  <c r="G149" i="11"/>
  <c r="G153" i="11"/>
  <c r="G142" i="11"/>
  <c r="G132" i="11"/>
  <c r="G136" i="11"/>
  <c r="G140" i="11"/>
  <c r="G146" i="11"/>
  <c r="G150" i="11"/>
  <c r="G154" i="11"/>
  <c r="G129" i="11"/>
  <c r="G133" i="11"/>
  <c r="G137" i="11"/>
  <c r="G128" i="11"/>
  <c r="G145" i="11"/>
  <c r="G118" i="11"/>
  <c r="G122" i="11"/>
  <c r="G126" i="11"/>
  <c r="G120" i="11"/>
  <c r="G121" i="11"/>
  <c r="G125" i="11"/>
  <c r="G119" i="11"/>
  <c r="G123" i="11"/>
  <c r="G117" i="11"/>
  <c r="G124" i="11"/>
  <c r="C22" i="11" l="1"/>
  <c r="G320" i="7"/>
  <c r="G319" i="7"/>
  <c r="G318" i="7"/>
  <c r="G316" i="7"/>
  <c r="G314" i="7"/>
  <c r="G315" i="7" s="1"/>
  <c r="G310" i="7" s="1"/>
  <c r="G313" i="7"/>
  <c r="F288" i="7"/>
  <c r="F287" i="7"/>
  <c r="F286" i="7"/>
  <c r="F285" i="7"/>
  <c r="F284" i="7"/>
  <c r="F276" i="7" s="1"/>
  <c r="F283" i="7"/>
  <c r="F282" i="7"/>
  <c r="F274" i="7" s="1"/>
  <c r="F281" i="7"/>
  <c r="F280" i="7"/>
  <c r="F272" i="7" s="1"/>
  <c r="F279" i="7"/>
  <c r="F275" i="7" s="1"/>
  <c r="F278" i="7"/>
  <c r="F273" i="7" s="1"/>
  <c r="F277" i="7"/>
  <c r="E129" i="7"/>
  <c r="E130" i="7"/>
  <c r="E131" i="7"/>
  <c r="E132" i="7"/>
  <c r="E133" i="7"/>
  <c r="E134" i="7"/>
  <c r="E135" i="7"/>
  <c r="E136" i="7"/>
  <c r="E137" i="7"/>
  <c r="B272" i="7"/>
  <c r="B273" i="7"/>
  <c r="B274" i="7"/>
  <c r="B275" i="7"/>
  <c r="B276" i="7"/>
  <c r="B277" i="7"/>
  <c r="B278" i="7"/>
  <c r="B279" i="7"/>
  <c r="B280" i="7"/>
  <c r="B281" i="7"/>
  <c r="B282" i="7"/>
  <c r="B283" i="7"/>
  <c r="B284" i="7"/>
  <c r="B285" i="7"/>
  <c r="B286" i="7"/>
  <c r="B287" i="7"/>
  <c r="B288" i="7"/>
  <c r="B271" i="7"/>
  <c r="L56" i="2"/>
  <c r="K50" i="2"/>
  <c r="K51" i="2"/>
  <c r="K49" i="2"/>
  <c r="F109" i="11" l="1"/>
  <c r="F113" i="11"/>
  <c r="F96" i="11"/>
  <c r="F100" i="11"/>
  <c r="F104" i="11"/>
  <c r="F87" i="11"/>
  <c r="F91" i="11"/>
  <c r="F107" i="11"/>
  <c r="F115" i="11"/>
  <c r="F98" i="11"/>
  <c r="F85" i="11"/>
  <c r="F93" i="11"/>
  <c r="F112" i="11"/>
  <c r="F106" i="11"/>
  <c r="F99" i="11"/>
  <c r="F103" i="11"/>
  <c r="F86" i="11"/>
  <c r="F90" i="11"/>
  <c r="F84" i="11"/>
  <c r="F110" i="11"/>
  <c r="F114" i="11"/>
  <c r="F97" i="11"/>
  <c r="F101" i="11"/>
  <c r="F95" i="11"/>
  <c r="F88" i="11"/>
  <c r="F92" i="11"/>
  <c r="F111" i="11"/>
  <c r="F102" i="11"/>
  <c r="F89" i="11"/>
  <c r="F108" i="11"/>
  <c r="E165" i="11"/>
  <c r="E164" i="11"/>
  <c r="E176" i="11"/>
  <c r="E175" i="11"/>
  <c r="E128" i="7"/>
  <c r="D134" i="7"/>
  <c r="D130" i="7"/>
  <c r="D128" i="7"/>
  <c r="D131" i="7"/>
  <c r="D136" i="7"/>
  <c r="D132" i="7"/>
  <c r="D135" i="7"/>
  <c r="D137" i="7"/>
  <c r="D133" i="7"/>
  <c r="D129" i="7"/>
  <c r="D42" i="2"/>
  <c r="G317" i="7"/>
  <c r="I256" i="10"/>
  <c r="I235" i="10"/>
  <c r="I214" i="10"/>
  <c r="I193" i="10"/>
  <c r="G66" i="10"/>
  <c r="F87" i="10" s="1"/>
  <c r="F66" i="10"/>
  <c r="E87" i="10" s="1"/>
  <c r="E66" i="10"/>
  <c r="D87" i="10" s="1"/>
  <c r="D66" i="10"/>
  <c r="C87" i="10" s="1"/>
  <c r="G69" i="10"/>
  <c r="F69" i="10"/>
  <c r="E69" i="10"/>
  <c r="D69" i="10"/>
  <c r="C100" i="10" s="1"/>
  <c r="G68" i="10"/>
  <c r="G70" i="10" s="1"/>
  <c r="I261" i="10" s="1"/>
  <c r="F68" i="10"/>
  <c r="F70" i="10" s="1"/>
  <c r="I240" i="10" s="1"/>
  <c r="E68" i="10"/>
  <c r="E70" i="10" s="1"/>
  <c r="I219" i="10" s="1"/>
  <c r="D68" i="10"/>
  <c r="G65" i="10"/>
  <c r="F65" i="10"/>
  <c r="E65" i="10"/>
  <c r="D65" i="10"/>
  <c r="I154" i="10"/>
  <c r="I236" i="10"/>
  <c r="I215" i="10"/>
  <c r="I194" i="10"/>
  <c r="C23" i="11"/>
  <c r="H88" i="7"/>
  <c r="E88" i="7" s="1"/>
  <c r="H87" i="7"/>
  <c r="E87" i="7" s="1"/>
  <c r="I90" i="10"/>
  <c r="E72" i="11"/>
  <c r="E71" i="11"/>
  <c r="H191" i="11" l="1"/>
  <c r="H189" i="11"/>
  <c r="H186" i="11"/>
  <c r="H190" i="11"/>
  <c r="H187" i="11"/>
  <c r="H188" i="11"/>
  <c r="D62" i="10"/>
  <c r="F85" i="10"/>
  <c r="D85" i="10"/>
  <c r="D67" i="10"/>
  <c r="I95" i="10" s="1"/>
  <c r="C85" i="10"/>
  <c r="E85" i="10"/>
  <c r="D70" i="10"/>
  <c r="I198" i="10" s="1"/>
  <c r="F67" i="10"/>
  <c r="I137" i="10" s="1"/>
  <c r="G67" i="10"/>
  <c r="I158" i="10" s="1"/>
  <c r="E67" i="10"/>
  <c r="I116" i="10" s="1"/>
  <c r="F100" i="10"/>
  <c r="D100" i="10"/>
  <c r="E100" i="10"/>
  <c r="I255" i="10"/>
  <c r="F98" i="10"/>
  <c r="I192" i="10"/>
  <c r="C98" i="10"/>
  <c r="I213" i="10"/>
  <c r="D98" i="10"/>
  <c r="I234" i="10"/>
  <c r="E98" i="10"/>
  <c r="G311" i="7"/>
  <c r="H192" i="11"/>
  <c r="I257" i="10"/>
  <c r="D29" i="11"/>
  <c r="C20" i="11"/>
  <c r="C21" i="11"/>
  <c r="C225" i="11"/>
  <c r="E70" i="11"/>
  <c r="E64" i="3"/>
  <c r="C92" i="3" s="1"/>
  <c r="E63" i="3"/>
  <c r="C93" i="3" s="1"/>
  <c r="C86" i="10" l="1"/>
  <c r="D99" i="10"/>
  <c r="F99" i="10"/>
  <c r="K192" i="10"/>
  <c r="K194" i="10" s="1"/>
  <c r="K196" i="10" s="1"/>
  <c r="E99" i="10"/>
  <c r="C99" i="10"/>
  <c r="D86" i="10"/>
  <c r="E86" i="10"/>
  <c r="F86" i="10"/>
  <c r="K213" i="10"/>
  <c r="K215" i="10" s="1"/>
  <c r="K217" i="10" s="1"/>
  <c r="K255" i="10"/>
  <c r="K257" i="10" s="1"/>
  <c r="K259" i="10" s="1"/>
  <c r="K234" i="10"/>
  <c r="K236" i="10" s="1"/>
  <c r="K238" i="10" s="1"/>
  <c r="D138" i="7"/>
  <c r="E138" i="7"/>
  <c r="E67" i="11"/>
  <c r="E63" i="11"/>
  <c r="I75" i="7"/>
  <c r="I76" i="7"/>
  <c r="I77" i="7"/>
  <c r="I78" i="7"/>
  <c r="I79" i="7"/>
  <c r="D28" i="11"/>
  <c r="E65" i="11"/>
  <c r="E183" i="11"/>
  <c r="E182" i="11"/>
  <c r="E181" i="11"/>
  <c r="E12" i="11"/>
  <c r="E10" i="11"/>
  <c r="E8" i="11"/>
  <c r="E7" i="11"/>
  <c r="E6" i="11"/>
  <c r="E64" i="11" l="1"/>
  <c r="E66" i="11"/>
  <c r="E59" i="3"/>
  <c r="E161" i="7" l="1"/>
  <c r="D161" i="7"/>
  <c r="E166" i="7"/>
  <c r="D166" i="7"/>
  <c r="D168" i="7"/>
  <c r="E168" i="7"/>
  <c r="E175" i="7"/>
  <c r="D175" i="7"/>
  <c r="D172" i="7"/>
  <c r="E172" i="7"/>
  <c r="E184" i="7"/>
  <c r="D184" i="7"/>
  <c r="E145" i="7"/>
  <c r="D145" i="7"/>
  <c r="E140" i="7"/>
  <c r="D140" i="7"/>
  <c r="E142" i="7"/>
  <c r="D142" i="7"/>
  <c r="E188" i="7"/>
  <c r="D188" i="7"/>
  <c r="E187" i="7"/>
  <c r="D187" i="7"/>
  <c r="D186" i="7"/>
  <c r="E186" i="7"/>
  <c r="E158" i="7"/>
  <c r="D158" i="7"/>
  <c r="E150" i="7"/>
  <c r="D150" i="7"/>
  <c r="E155" i="7"/>
  <c r="D155" i="7"/>
  <c r="E167" i="7"/>
  <c r="D167" i="7"/>
  <c r="D162" i="7"/>
  <c r="E162" i="7"/>
  <c r="D164" i="7"/>
  <c r="E164" i="7"/>
  <c r="E182" i="7"/>
  <c r="D182" i="7"/>
  <c r="D181" i="7"/>
  <c r="E181" i="7"/>
  <c r="E180" i="7"/>
  <c r="D180" i="7"/>
  <c r="E141" i="7"/>
  <c r="D141" i="7"/>
  <c r="E147" i="7"/>
  <c r="D147" i="7"/>
  <c r="E200" i="7"/>
  <c r="D200" i="7"/>
  <c r="E199" i="7"/>
  <c r="D199" i="7"/>
  <c r="D198" i="7"/>
  <c r="E198" i="7"/>
  <c r="E197" i="7"/>
  <c r="D197" i="7"/>
  <c r="E154" i="7"/>
  <c r="D154" i="7"/>
  <c r="E156" i="7"/>
  <c r="D156" i="7"/>
  <c r="E151" i="7"/>
  <c r="D151" i="7"/>
  <c r="E163" i="7"/>
  <c r="D163" i="7"/>
  <c r="D169" i="7"/>
  <c r="E169" i="7"/>
  <c r="E183" i="7"/>
  <c r="D183" i="7"/>
  <c r="E178" i="7"/>
  <c r="D178" i="7"/>
  <c r="D177" i="7"/>
  <c r="E177" i="7"/>
  <c r="E176" i="7"/>
  <c r="D176" i="7"/>
  <c r="E148" i="7"/>
  <c r="D148" i="7"/>
  <c r="E143" i="7"/>
  <c r="D143" i="7"/>
  <c r="E196" i="7"/>
  <c r="D196" i="7"/>
  <c r="D195" i="7"/>
  <c r="E195" i="7"/>
  <c r="D194" i="7"/>
  <c r="E194" i="7"/>
  <c r="E193" i="7"/>
  <c r="D193" i="7"/>
  <c r="E157" i="7"/>
  <c r="D157" i="7"/>
  <c r="E152" i="7"/>
  <c r="D152" i="7"/>
  <c r="D170" i="7"/>
  <c r="E170" i="7"/>
  <c r="E165" i="7"/>
  <c r="D165" i="7"/>
  <c r="E179" i="7"/>
  <c r="D179" i="7"/>
  <c r="E174" i="7"/>
  <c r="D174" i="7"/>
  <c r="D173" i="7"/>
  <c r="E173" i="7"/>
  <c r="E139" i="7"/>
  <c r="D139" i="7"/>
  <c r="E144" i="7"/>
  <c r="D144" i="7"/>
  <c r="E146" i="7"/>
  <c r="D146" i="7"/>
  <c r="E192" i="7"/>
  <c r="D192" i="7"/>
  <c r="E191" i="7"/>
  <c r="D191" i="7"/>
  <c r="D190" i="7"/>
  <c r="E190" i="7"/>
  <c r="E189" i="7"/>
  <c r="D189" i="7"/>
  <c r="E153" i="7"/>
  <c r="D153" i="7"/>
  <c r="E159" i="7"/>
  <c r="D159" i="7"/>
  <c r="E80" i="11"/>
  <c r="E78" i="11"/>
  <c r="E76" i="11"/>
  <c r="E74" i="11"/>
  <c r="E81" i="11"/>
  <c r="E79" i="11"/>
  <c r="E77" i="11"/>
  <c r="E75" i="11"/>
  <c r="E178" i="11"/>
  <c r="E174" i="11"/>
  <c r="E172" i="11"/>
  <c r="E170" i="11"/>
  <c r="E167" i="11"/>
  <c r="E162" i="11"/>
  <c r="E160" i="11"/>
  <c r="E159" i="11"/>
  <c r="E177" i="11"/>
  <c r="E173" i="11"/>
  <c r="E171" i="11"/>
  <c r="E169" i="11"/>
  <c r="E166" i="11"/>
  <c r="E161" i="11"/>
  <c r="E163" i="11"/>
  <c r="D41" i="2"/>
  <c r="D40" i="2"/>
  <c r="D39" i="2"/>
  <c r="D38" i="2"/>
  <c r="C47" i="2" s="1"/>
  <c r="I57" i="2"/>
  <c r="I58" i="2" s="1"/>
  <c r="E53" i="3"/>
  <c r="C80" i="3" s="1"/>
  <c r="E67" i="3"/>
  <c r="E68" i="3" s="1"/>
  <c r="D75" i="10"/>
  <c r="E201" i="7" l="1"/>
  <c r="D201" i="7"/>
  <c r="D160" i="7"/>
  <c r="E160" i="7"/>
  <c r="C82" i="3"/>
  <c r="C95" i="3"/>
  <c r="E185" i="7"/>
  <c r="D171" i="7"/>
  <c r="D185" i="7"/>
  <c r="E171" i="7"/>
  <c r="D149" i="7"/>
  <c r="E149" i="7"/>
  <c r="C94" i="3"/>
  <c r="C81" i="3"/>
  <c r="I153" i="10"/>
  <c r="I132" i="10"/>
  <c r="I111" i="10"/>
  <c r="D76" i="10"/>
  <c r="E77" i="10" s="1"/>
  <c r="E197" i="10"/>
  <c r="I133" i="10"/>
  <c r="I112" i="10"/>
  <c r="I91" i="10"/>
  <c r="I152" i="10"/>
  <c r="K152" i="10" s="1"/>
  <c r="I131" i="10"/>
  <c r="K131" i="10" s="1"/>
  <c r="I110" i="10"/>
  <c r="K110" i="10" s="1"/>
  <c r="I89" i="10"/>
  <c r="K89" i="10" s="1"/>
  <c r="E54" i="3"/>
  <c r="C79" i="3" s="1"/>
  <c r="E58" i="3"/>
  <c r="E57" i="3"/>
  <c r="E56" i="3"/>
  <c r="E55" i="3"/>
  <c r="C88" i="3" s="1"/>
  <c r="E49" i="3"/>
  <c r="E48" i="3"/>
  <c r="E47" i="3"/>
  <c r="E60" i="3"/>
  <c r="C85" i="3" s="1"/>
  <c r="E46" i="3"/>
  <c r="C72" i="3" s="1"/>
  <c r="I72" i="7"/>
  <c r="C218" i="7" s="1"/>
  <c r="I70" i="7"/>
  <c r="P47" i="2"/>
  <c r="C62" i="2" s="1"/>
  <c r="C63" i="2"/>
  <c r="E45" i="3"/>
  <c r="D61" i="10"/>
  <c r="I71" i="7"/>
  <c r="C87" i="3"/>
  <c r="C74" i="3" l="1"/>
  <c r="C105" i="3" s="1"/>
  <c r="C129" i="3"/>
  <c r="D129" i="3"/>
  <c r="C128" i="3"/>
  <c r="D128" i="3"/>
  <c r="C127" i="3"/>
  <c r="D127" i="3"/>
  <c r="K154" i="10"/>
  <c r="K156" i="10" s="1"/>
  <c r="K133" i="10"/>
  <c r="K135" i="10" s="1"/>
  <c r="D133" i="3"/>
  <c r="D132" i="3"/>
  <c r="D131" i="3"/>
  <c r="C131" i="3"/>
  <c r="C133" i="3"/>
  <c r="C132" i="3"/>
  <c r="E218" i="7"/>
  <c r="D77" i="10"/>
  <c r="D79" i="10"/>
  <c r="C110" i="10" s="1"/>
  <c r="D78" i="10"/>
  <c r="E78" i="10"/>
  <c r="E79" i="10"/>
  <c r="C67" i="2"/>
  <c r="C68" i="2"/>
  <c r="C66" i="2"/>
  <c r="C89" i="3"/>
  <c r="C73" i="3"/>
  <c r="C75" i="3"/>
  <c r="C104" i="3" l="1"/>
  <c r="D103" i="3"/>
  <c r="D105" i="3"/>
  <c r="D104" i="3"/>
  <c r="C103" i="3"/>
  <c r="F142" i="3"/>
  <c r="F140" i="3"/>
  <c r="F141" i="3"/>
  <c r="F137" i="3"/>
  <c r="F138" i="3"/>
  <c r="F136" i="3"/>
  <c r="G136" i="3" s="1"/>
  <c r="C102" i="10"/>
  <c r="C106" i="10" s="1"/>
  <c r="C119" i="10" s="1"/>
  <c r="F125" i="10" s="1"/>
  <c r="C90" i="10"/>
  <c r="C94" i="10" s="1"/>
  <c r="C103" i="10"/>
  <c r="C107" i="10" s="1"/>
  <c r="C120" i="10" s="1"/>
  <c r="F126" i="10" s="1"/>
  <c r="C91" i="10"/>
  <c r="C95" i="10" s="1"/>
  <c r="C104" i="10"/>
  <c r="C108" i="10" s="1"/>
  <c r="C121" i="10" s="1"/>
  <c r="F127" i="10" s="1"/>
  <c r="C89" i="10"/>
  <c r="C93" i="10" s="1"/>
  <c r="E91" i="10"/>
  <c r="E95" i="10" s="1"/>
  <c r="F91" i="10"/>
  <c r="F95" i="10" s="1"/>
  <c r="E90" i="10"/>
  <c r="E94" i="10" s="1"/>
  <c r="D90" i="10"/>
  <c r="D94" i="10" s="1"/>
  <c r="F90" i="10"/>
  <c r="F94" i="10" s="1"/>
  <c r="D89" i="10"/>
  <c r="D93" i="10" s="1"/>
  <c r="E89" i="10"/>
  <c r="E93" i="10" s="1"/>
  <c r="F89" i="10"/>
  <c r="F93" i="10" s="1"/>
  <c r="D91" i="10"/>
  <c r="D95" i="10" s="1"/>
  <c r="F103" i="10"/>
  <c r="F107" i="10" s="1"/>
  <c r="E102" i="10"/>
  <c r="E106" i="10" s="1"/>
  <c r="D102" i="10"/>
  <c r="D106" i="10" s="1"/>
  <c r="F102" i="10"/>
  <c r="F106" i="10" s="1"/>
  <c r="E104" i="10"/>
  <c r="E108" i="10" s="1"/>
  <c r="D104" i="10"/>
  <c r="D108" i="10" s="1"/>
  <c r="F104" i="10"/>
  <c r="F108" i="10" s="1"/>
  <c r="E103" i="10"/>
  <c r="E107" i="10" s="1"/>
  <c r="D103" i="10"/>
  <c r="D107" i="10" s="1"/>
  <c r="K112" i="10"/>
  <c r="K114" i="10" s="1"/>
  <c r="K91" i="10"/>
  <c r="K93" i="10" s="1"/>
  <c r="D109" i="3"/>
  <c r="D108" i="3"/>
  <c r="D107" i="3"/>
  <c r="C107" i="3"/>
  <c r="C109" i="3"/>
  <c r="C108" i="3"/>
  <c r="I140" i="10"/>
  <c r="I98" i="10"/>
  <c r="I141" i="10"/>
  <c r="I118" i="10"/>
  <c r="I99" i="10"/>
  <c r="I119" i="10"/>
  <c r="I139" i="10"/>
  <c r="I120" i="10"/>
  <c r="I97" i="10"/>
  <c r="I162" i="10"/>
  <c r="I160" i="10"/>
  <c r="L166" i="10" s="1"/>
  <c r="I161" i="10"/>
  <c r="I265" i="10"/>
  <c r="I243" i="10"/>
  <c r="I221" i="10"/>
  <c r="I263" i="10"/>
  <c r="I200" i="10"/>
  <c r="I244" i="10"/>
  <c r="I222" i="10"/>
  <c r="I223" i="10"/>
  <c r="I201" i="10"/>
  <c r="I264" i="10"/>
  <c r="I242" i="10"/>
  <c r="I202" i="10"/>
  <c r="C86" i="3"/>
  <c r="C90" i="3" s="1"/>
  <c r="C77" i="3"/>
  <c r="C76" i="3"/>
  <c r="C116" i="3" l="1"/>
  <c r="C113" i="3"/>
  <c r="C117" i="3"/>
  <c r="C114" i="3"/>
  <c r="C118" i="3"/>
  <c r="C112" i="3"/>
  <c r="D112" i="3" s="1"/>
  <c r="C140" i="3"/>
  <c r="C137" i="3"/>
  <c r="C141" i="3"/>
  <c r="C138" i="3"/>
  <c r="C142" i="3"/>
  <c r="C136" i="3"/>
  <c r="D136" i="3" s="1"/>
  <c r="F112" i="3"/>
  <c r="G112" i="3" s="1"/>
  <c r="F113" i="3"/>
  <c r="F117" i="3"/>
  <c r="F118" i="3"/>
  <c r="F116" i="3"/>
  <c r="F114" i="3"/>
  <c r="L103" i="10"/>
  <c r="L206" i="10"/>
  <c r="L271" i="10"/>
  <c r="L270" i="10"/>
  <c r="L250" i="10"/>
  <c r="L249" i="10"/>
  <c r="L248" i="10"/>
  <c r="L228" i="10"/>
  <c r="L227" i="10"/>
  <c r="L207" i="10"/>
  <c r="L208" i="10"/>
  <c r="L229" i="10"/>
  <c r="L269" i="10"/>
  <c r="L124" i="10"/>
  <c r="L104" i="10"/>
  <c r="L146" i="10"/>
  <c r="L145" i="10"/>
  <c r="L167" i="10"/>
  <c r="L147" i="10"/>
  <c r="L105" i="10"/>
  <c r="L168" i="10"/>
  <c r="G138" i="3"/>
  <c r="G137" i="3"/>
  <c r="C115" i="10" l="1"/>
  <c r="C114" i="10"/>
  <c r="D114" i="10" s="1"/>
  <c r="C116" i="10"/>
  <c r="C153" i="3"/>
  <c r="C151" i="3"/>
  <c r="C152" i="3"/>
  <c r="I286" i="10"/>
  <c r="I183" i="10"/>
  <c r="I287" i="10"/>
  <c r="I288" i="10"/>
  <c r="C147" i="3"/>
  <c r="D138" i="3"/>
  <c r="C148" i="3"/>
  <c r="C18" i="3" s="1"/>
  <c r="C123" i="3"/>
  <c r="D137" i="3"/>
  <c r="D113" i="3"/>
  <c r="D114" i="3"/>
  <c r="C149" i="3"/>
  <c r="C158" i="3" s="1"/>
  <c r="C124" i="3"/>
  <c r="C122" i="3"/>
  <c r="G114" i="3"/>
  <c r="G113" i="3"/>
  <c r="I212" i="7"/>
  <c r="I302" i="10" l="1"/>
  <c r="H17" i="3"/>
  <c r="C156" i="3"/>
  <c r="E17" i="3" s="1"/>
  <c r="C17" i="3"/>
  <c r="D17" i="3" s="1"/>
  <c r="H18" i="3"/>
  <c r="C157" i="3"/>
  <c r="E18" i="3" s="1"/>
  <c r="D18" i="3"/>
  <c r="D148" i="3"/>
  <c r="D149" i="3"/>
  <c r="D147" i="3"/>
  <c r="D62" i="11" l="1"/>
  <c r="C62" i="11"/>
  <c r="C222" i="11" l="1"/>
  <c r="C223" i="11"/>
  <c r="C224" i="11"/>
  <c r="C221" i="11"/>
  <c r="C25" i="1"/>
  <c r="F48" i="1" l="1"/>
  <c r="C20" i="1" s="1"/>
  <c r="F45" i="1"/>
  <c r="E219" i="7"/>
  <c r="D220" i="7"/>
  <c r="D218" i="7"/>
  <c r="J217" i="7" s="1"/>
  <c r="C219" i="7"/>
  <c r="E220" i="7"/>
  <c r="D219" i="7"/>
  <c r="C220" i="7"/>
  <c r="F20" i="1" l="1"/>
  <c r="E58" i="11" s="1"/>
  <c r="C58" i="11"/>
  <c r="J219" i="7"/>
  <c r="J218" i="7"/>
  <c r="L217" i="7"/>
  <c r="L222" i="7" s="1"/>
  <c r="L219" i="7"/>
  <c r="L224" i="7" s="1"/>
  <c r="L218" i="7"/>
  <c r="L223" i="7" s="1"/>
  <c r="F58" i="11" l="1"/>
  <c r="J224" i="7"/>
  <c r="J222" i="7"/>
  <c r="C200" i="10"/>
  <c r="C202" i="10"/>
  <c r="C204" i="10"/>
  <c r="C199" i="10"/>
  <c r="C206" i="10"/>
  <c r="C201" i="10"/>
  <c r="C203" i="10"/>
  <c r="C205" i="10"/>
  <c r="C127" i="10"/>
  <c r="C125" i="10"/>
  <c r="C16" i="10" s="1"/>
  <c r="I24" i="7" l="1"/>
  <c r="I25" i="7"/>
  <c r="L125" i="10"/>
  <c r="I184" i="10" s="1"/>
  <c r="I303" i="10" s="1"/>
  <c r="L126" i="10"/>
  <c r="I185" i="10" s="1"/>
  <c r="I304" i="10" s="1"/>
  <c r="L24" i="7"/>
  <c r="J223" i="7"/>
  <c r="L25" i="7" s="1"/>
  <c r="E200" i="10"/>
  <c r="C126" i="10"/>
  <c r="C17" i="10" s="1"/>
  <c r="E16" i="10"/>
  <c r="I92" i="10" l="1"/>
  <c r="I103" i="10" s="1"/>
  <c r="J103" i="10" s="1"/>
  <c r="I216" i="10"/>
  <c r="I237" i="10"/>
  <c r="I195" i="10"/>
  <c r="I258" i="10"/>
  <c r="I155" i="10"/>
  <c r="H25" i="7"/>
  <c r="E29" i="11" s="1"/>
  <c r="H24" i="7"/>
  <c r="E28" i="11" s="1"/>
  <c r="L16" i="7"/>
  <c r="L17" i="7"/>
  <c r="E17" i="10"/>
  <c r="I113" i="10"/>
  <c r="I134" i="10"/>
  <c r="I166" i="10" l="1"/>
  <c r="I167" i="10"/>
  <c r="I168" i="10"/>
  <c r="I227" i="10"/>
  <c r="J227" i="10" s="1"/>
  <c r="I228" i="10"/>
  <c r="I229" i="10"/>
  <c r="I250" i="10"/>
  <c r="I248" i="10"/>
  <c r="J248" i="10" s="1"/>
  <c r="I249" i="10"/>
  <c r="I126" i="10"/>
  <c r="I125" i="10"/>
  <c r="I124" i="10"/>
  <c r="J124" i="10" s="1"/>
  <c r="I206" i="10"/>
  <c r="I207" i="10"/>
  <c r="I208" i="10"/>
  <c r="I145" i="10"/>
  <c r="I146" i="10"/>
  <c r="I147" i="10"/>
  <c r="I269" i="10"/>
  <c r="J269" i="10" s="1"/>
  <c r="I270" i="10"/>
  <c r="I271" i="10"/>
  <c r="I104" i="10"/>
  <c r="J104" i="10" s="1"/>
  <c r="I105" i="10"/>
  <c r="J105" i="10" s="1"/>
  <c r="E24" i="7"/>
  <c r="H16" i="7"/>
  <c r="E25" i="7"/>
  <c r="H17" i="7"/>
  <c r="I17" i="7" s="1"/>
  <c r="D121" i="10"/>
  <c r="D120" i="10"/>
  <c r="D119" i="10"/>
  <c r="E16" i="7" l="1"/>
  <c r="I16" i="7"/>
  <c r="J250" i="10"/>
  <c r="I176" i="10"/>
  <c r="J176" i="10" s="1"/>
  <c r="J229" i="10"/>
  <c r="J207" i="10"/>
  <c r="I280" i="10"/>
  <c r="J208" i="10"/>
  <c r="I281" i="10"/>
  <c r="I279" i="10"/>
  <c r="J206" i="10"/>
  <c r="J270" i="10"/>
  <c r="J271" i="10"/>
  <c r="J249" i="10"/>
  <c r="J228" i="10"/>
  <c r="I178" i="10"/>
  <c r="L178" i="10" s="1"/>
  <c r="I177" i="10"/>
  <c r="J166" i="10"/>
  <c r="J145" i="10"/>
  <c r="J126" i="10"/>
  <c r="J147" i="10"/>
  <c r="J125" i="10"/>
  <c r="J146" i="10"/>
  <c r="J167" i="10"/>
  <c r="J168" i="10"/>
  <c r="D126" i="10"/>
  <c r="D127" i="10"/>
  <c r="D125" i="10"/>
  <c r="L176" i="10" l="1"/>
  <c r="J280" i="10"/>
  <c r="L280" i="10"/>
  <c r="J281" i="10"/>
  <c r="L281" i="10"/>
  <c r="L279" i="10"/>
  <c r="J279" i="10"/>
  <c r="I295" i="10"/>
  <c r="I297" i="10"/>
  <c r="L297" i="10" s="1"/>
  <c r="J178" i="10"/>
  <c r="I296" i="10"/>
  <c r="J177" i="10"/>
  <c r="L177" i="10"/>
  <c r="D17" i="10"/>
  <c r="G29" i="11" s="1"/>
  <c r="D16" i="10"/>
  <c r="G28" i="11" s="1"/>
  <c r="J295" i="10" l="1"/>
  <c r="G21" i="10"/>
  <c r="C21" i="10"/>
  <c r="D21" i="10" s="1"/>
  <c r="H28" i="11" s="1"/>
  <c r="L295" i="10"/>
  <c r="E21" i="10" s="1"/>
  <c r="J297" i="10"/>
  <c r="C22" i="10"/>
  <c r="D22" i="10" s="1"/>
  <c r="H29" i="11" s="1"/>
  <c r="J296" i="10"/>
  <c r="L296" i="10"/>
  <c r="E22" i="10" s="1"/>
  <c r="G22" i="10"/>
  <c r="E27" i="1"/>
  <c r="E25" i="1"/>
  <c r="F29" i="11" l="1"/>
  <c r="F28" i="11" l="1"/>
  <c r="C49" i="2" l="1"/>
  <c r="C57" i="2" l="1"/>
  <c r="C58" i="2"/>
  <c r="C59" i="2"/>
  <c r="C52" i="2"/>
  <c r="E65" i="2" s="1"/>
  <c r="C53" i="2"/>
  <c r="C54" i="2"/>
  <c r="P49" i="2"/>
  <c r="C48" i="2"/>
  <c r="D59" i="2" l="1"/>
  <c r="H19" i="2"/>
  <c r="K29" i="11" s="1"/>
  <c r="D58" i="2"/>
  <c r="D57" i="2"/>
  <c r="H18" i="2"/>
  <c r="K28" i="11" s="1"/>
  <c r="D52" i="2"/>
  <c r="C72" i="2"/>
  <c r="C18" i="2" s="1"/>
  <c r="D67" i="2"/>
  <c r="D66" i="2"/>
  <c r="D53" i="2"/>
  <c r="D54" i="2"/>
  <c r="F72" i="2" l="1"/>
  <c r="E18" i="2" s="1"/>
  <c r="D68" i="2"/>
  <c r="C74" i="2"/>
  <c r="F74" i="2" s="1"/>
  <c r="C73" i="2" l="1"/>
  <c r="F73" i="2" s="1"/>
  <c r="E19" i="2" s="1"/>
  <c r="C19" i="2" l="1"/>
  <c r="D19" i="2" s="1"/>
  <c r="D18" i="2"/>
  <c r="D74" i="2"/>
  <c r="D72" i="2"/>
  <c r="D73" i="2"/>
  <c r="C28" i="11" l="1"/>
  <c r="C29" i="11"/>
  <c r="E26" i="1"/>
  <c r="E28" i="1"/>
  <c r="E29" i="1"/>
  <c r="E32" i="1"/>
  <c r="E33" i="1"/>
  <c r="E34" i="1"/>
  <c r="E35" i="1"/>
  <c r="E37" i="1"/>
  <c r="D25" i="1"/>
  <c r="C27" i="1"/>
  <c r="D27" i="1" s="1"/>
  <c r="F27" i="1" s="1"/>
  <c r="C9" i="1" s="1"/>
  <c r="C34" i="1"/>
  <c r="D34" i="1" s="1"/>
  <c r="C32" i="1"/>
  <c r="D32" i="1" s="1"/>
  <c r="F32" i="1" s="1"/>
  <c r="C14" i="1" s="1"/>
  <c r="C26" i="1"/>
  <c r="D26" i="1" s="1"/>
  <c r="C33" i="1"/>
  <c r="D33" i="1" s="1"/>
  <c r="C37" i="1"/>
  <c r="D37" i="1" s="1"/>
  <c r="C35" i="1"/>
  <c r="D35" i="1" s="1"/>
  <c r="C28" i="1"/>
  <c r="D28" i="1" s="1"/>
  <c r="C29" i="1"/>
  <c r="D29" i="1" s="1"/>
  <c r="E17" i="7"/>
  <c r="F29" i="1" l="1"/>
  <c r="F35" i="1"/>
  <c r="F28" i="1"/>
  <c r="C10" i="1" s="1"/>
  <c r="F10" i="1" s="1"/>
  <c r="E51" i="11" s="1"/>
  <c r="F34" i="1"/>
  <c r="F33" i="1"/>
  <c r="F37" i="1"/>
  <c r="F9" i="1"/>
  <c r="E50" i="11" s="1"/>
  <c r="C50" i="11"/>
  <c r="F14" i="1"/>
  <c r="E53" i="11" s="1"/>
  <c r="F53" i="11" s="1"/>
  <c r="C53" i="11"/>
  <c r="F26" i="1"/>
  <c r="C8" i="1" s="1"/>
  <c r="F25" i="1"/>
  <c r="C7" i="1" s="1"/>
  <c r="I29" i="11"/>
  <c r="I28" i="11"/>
  <c r="C51" i="11" l="1"/>
  <c r="C16" i="1"/>
  <c r="C55" i="11" s="1"/>
  <c r="C19" i="1"/>
  <c r="F19" i="1" s="1"/>
  <c r="E57" i="11" s="1"/>
  <c r="F57" i="11" s="1"/>
  <c r="C17" i="1"/>
  <c r="F17" i="1" s="1"/>
  <c r="E56" i="11" s="1"/>
  <c r="F56" i="11" s="1"/>
  <c r="C15" i="1"/>
  <c r="F15" i="1" s="1"/>
  <c r="E54" i="11" s="1"/>
  <c r="F54" i="11" s="1"/>
  <c r="C11" i="1"/>
  <c r="F11" i="1" s="1"/>
  <c r="E52" i="11" s="1"/>
  <c r="F52" i="11" s="1"/>
  <c r="F50" i="11"/>
  <c r="F7" i="1"/>
  <c r="E48" i="11" s="1"/>
  <c r="C48" i="11"/>
  <c r="F8" i="1"/>
  <c r="E49" i="11" s="1"/>
  <c r="C49" i="11"/>
  <c r="F51" i="11"/>
  <c r="C47" i="11"/>
  <c r="E47" i="11" s="1"/>
  <c r="F47" i="11" s="1"/>
  <c r="C46" i="11"/>
  <c r="E46" i="11" s="1"/>
  <c r="F46" i="11" s="1"/>
  <c r="C57" i="11" l="1"/>
  <c r="F49" i="11"/>
  <c r="C52" i="11"/>
  <c r="C54" i="11"/>
  <c r="C56" i="11"/>
  <c r="F16" i="1"/>
  <c r="E55" i="11" s="1"/>
  <c r="F55" i="11" s="1"/>
  <c r="F4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BERGEOT</author>
    <author xml:space="preserve"> </author>
  </authors>
  <commentList>
    <comment ref="B64" authorId="0" shapeId="0" xr:uid="{00000000-0006-0000-0100-000001000000}">
      <text>
        <r>
          <rPr>
            <b/>
            <sz val="12"/>
            <color indexed="81"/>
            <rFont val="Arial"/>
            <family val="2"/>
          </rPr>
          <t>ou linéaire de forage annuel / hauteur moyenne forée</t>
        </r>
      </text>
    </comment>
    <comment ref="B66" authorId="0" shapeId="0" xr:uid="{00000000-0006-0000-0100-000002000000}">
      <text>
        <r>
          <rPr>
            <b/>
            <sz val="12"/>
            <color indexed="81"/>
            <rFont val="Arial"/>
            <family val="2"/>
          </rPr>
          <t>volume abattu / hauteur moyenne / nombre de tirs ( volume= tonnage abattu/densité du matériau)</t>
        </r>
      </text>
    </comment>
    <comment ref="B76" authorId="0" shapeId="0" xr:uid="{00000000-0006-0000-0100-000003000000}">
      <text>
        <r>
          <rPr>
            <b/>
            <sz val="12"/>
            <color indexed="81"/>
            <rFont val="Arial"/>
            <family val="2"/>
          </rPr>
          <t>Les émissions canalisées mesurées sont traitées dans un autre chapitre</t>
        </r>
      </text>
    </comment>
    <comment ref="B77" authorId="0" shapeId="0" xr:uid="{00000000-0006-0000-0100-000004000000}">
      <text>
        <r>
          <rPr>
            <b/>
            <sz val="12"/>
            <color indexed="81"/>
            <rFont val="Arial"/>
            <family val="2"/>
          </rPr>
          <t>Les émissions canalisées mesurées sont traitées dans un autre chapitre</t>
        </r>
      </text>
    </comment>
    <comment ref="B78" authorId="0" shapeId="0" xr:uid="{00000000-0006-0000-0100-000005000000}">
      <text>
        <r>
          <rPr>
            <b/>
            <sz val="12"/>
            <color indexed="81"/>
            <rFont val="Arial"/>
            <family val="2"/>
          </rPr>
          <t>Les émissions canalisées mesurées sont traitées dans un autre chapitre</t>
        </r>
      </text>
    </comment>
    <comment ref="B79" authorId="0" shapeId="0" xr:uid="{00000000-0006-0000-0100-000006000000}">
      <text>
        <r>
          <rPr>
            <b/>
            <sz val="12"/>
            <color indexed="81"/>
            <rFont val="Arial"/>
            <family val="2"/>
          </rPr>
          <t>Les émissions canalisées mesurées sont traitées dans un autre chapitre</t>
        </r>
      </text>
    </comment>
    <comment ref="B80" authorId="0" shapeId="0" xr:uid="{00000000-0006-0000-0100-000007000000}">
      <text>
        <r>
          <rPr>
            <b/>
            <sz val="12"/>
            <color indexed="81"/>
            <rFont val="Arial"/>
            <family val="2"/>
          </rPr>
          <t>Les émissions canalisées mesurées sont traitées dans un autre chapitre</t>
        </r>
      </text>
    </comment>
    <comment ref="B81" authorId="0" shapeId="0" xr:uid="{00000000-0006-0000-0100-000008000000}">
      <text>
        <r>
          <rPr>
            <b/>
            <sz val="12"/>
            <color indexed="81"/>
            <rFont val="Arial"/>
            <family val="2"/>
          </rPr>
          <t>Les émissions canalisées mesurées sont traitées dans un autre chapitre</t>
        </r>
      </text>
    </comment>
    <comment ref="B158" authorId="1" shapeId="0" xr:uid="{00000000-0006-0000-0100-000009000000}">
      <text>
        <r>
          <rPr>
            <b/>
            <sz val="14"/>
            <color indexed="81"/>
            <rFont val="Tahoma"/>
            <family val="2"/>
          </rPr>
          <t>Les chargeurs ne sont pas pris en compte étant donné leur faible vitesse au moment du chargement</t>
        </r>
      </text>
    </comment>
    <comment ref="B159" authorId="1" shapeId="0" xr:uid="{00000000-0006-0000-0100-00000A000000}">
      <text>
        <r>
          <rPr>
            <b/>
            <sz val="16"/>
            <color indexed="81"/>
            <rFont val="Tahoma"/>
            <family val="2"/>
          </rPr>
          <t>Il s'agit de la moyenne "aller" des distances parcourues entre l'extraction et les installations de traitement par les dumpers, observée sur l'année de déclaration</t>
        </r>
      </text>
    </comment>
    <comment ref="B185" authorId="1" shapeId="0" xr:uid="{00000000-0006-0000-0100-00000B000000}">
      <text>
        <r>
          <rPr>
            <b/>
            <sz val="12"/>
            <color indexed="81"/>
            <rFont val="Arial"/>
            <family val="2"/>
          </rPr>
          <t xml:space="preserve"> sont considérées comme fines, les part &lt;63µm dans le stock</t>
        </r>
        <r>
          <rPr>
            <sz val="14"/>
            <color indexed="81"/>
            <rFont val="Tahoma"/>
            <family val="2"/>
          </rPr>
          <t xml:space="preserve">
</t>
        </r>
      </text>
    </comment>
    <comment ref="B186" authorId="1" shapeId="0" xr:uid="{00000000-0006-0000-0100-00000C000000}">
      <text>
        <r>
          <rPr>
            <b/>
            <sz val="12"/>
            <color indexed="81"/>
            <rFont val="Arial"/>
            <family val="2"/>
          </rPr>
          <t xml:space="preserve"> sont considérées comme fines, les part &lt;63µm dans le stock</t>
        </r>
        <r>
          <rPr>
            <sz val="14"/>
            <color indexed="81"/>
            <rFont val="Tahoma"/>
            <family val="2"/>
          </rPr>
          <t xml:space="preserve">
</t>
        </r>
      </text>
    </comment>
    <comment ref="B189" authorId="1" shapeId="0" xr:uid="{00000000-0006-0000-0100-00000D000000}">
      <text>
        <r>
          <rPr>
            <b/>
            <sz val="12"/>
            <color indexed="81"/>
            <rFont val="Arial"/>
            <family val="2"/>
          </rPr>
          <t xml:space="preserve"> sont considérées comme fines, les part &lt;63µm dans le stock</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6" authorId="0" shapeId="0" xr:uid="{00000000-0006-0000-0400-000001000000}">
      <text>
        <r>
          <rPr>
            <b/>
            <sz val="16"/>
            <color indexed="81"/>
            <rFont val="Tahoma"/>
            <family val="2"/>
          </rPr>
          <t>prend en compte le recyclage sur l'installation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BERGEOT</author>
  </authors>
  <commentList>
    <comment ref="E65" authorId="0" shapeId="0" xr:uid="{00000000-0006-0000-0500-000001000000}">
      <text>
        <r>
          <rPr>
            <sz val="9"/>
            <color indexed="81"/>
            <rFont val="Tahoma"/>
            <family val="2"/>
          </rPr>
          <t>constante</t>
        </r>
      </text>
    </comment>
    <comment ref="E66" authorId="0" shapeId="0" xr:uid="{00000000-0006-0000-0500-000002000000}">
      <text>
        <r>
          <rPr>
            <b/>
            <sz val="9"/>
            <color indexed="81"/>
            <rFont val="Tahoma"/>
            <family val="2"/>
          </rPr>
          <t xml:space="preserve">constante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65" authorId="0" shapeId="0" xr:uid="{00000000-0006-0000-0600-000001000000}">
      <text>
        <r>
          <rPr>
            <b/>
            <sz val="12"/>
            <color indexed="81"/>
            <rFont val="Arial"/>
            <family val="2"/>
          </rPr>
          <t xml:space="preserve"> sont considérées comme fines, les part &lt;63µm dans le stock</t>
        </r>
        <r>
          <rPr>
            <sz val="14"/>
            <color indexed="81"/>
            <rFont val="Tahoma"/>
            <family val="2"/>
          </rPr>
          <t xml:space="preserve">
</t>
        </r>
      </text>
    </comment>
    <comment ref="B68" authorId="0" shapeId="0" xr:uid="{00000000-0006-0000-0600-000002000000}">
      <text>
        <r>
          <rPr>
            <b/>
            <sz val="12"/>
            <color indexed="81"/>
            <rFont val="Arial"/>
            <family val="2"/>
          </rPr>
          <t xml:space="preserve"> sont considérées comme fines, les part &lt;63µm dans le stock</t>
        </r>
        <r>
          <rPr>
            <sz val="14"/>
            <color indexed="81"/>
            <rFont val="Tahoma"/>
            <family val="2"/>
          </rPr>
          <t xml:space="preserve">
</t>
        </r>
      </text>
    </comment>
    <comment ref="I91" authorId="0" shapeId="0" xr:uid="{00000000-0006-0000-0600-000004000000}">
      <text>
        <r>
          <rPr>
            <b/>
            <sz val="10"/>
            <color indexed="81"/>
            <rFont val="Tahoma"/>
            <family val="2"/>
          </rPr>
          <t xml:space="preserve"> : arrosage avec pondération CAT</t>
        </r>
        <r>
          <rPr>
            <sz val="10"/>
            <color indexed="81"/>
            <rFont val="Tahoma"/>
            <family val="2"/>
          </rPr>
          <t xml:space="preserve">
</t>
        </r>
      </text>
    </comment>
    <comment ref="C111" authorId="0" shapeId="0" xr:uid="{00000000-0006-0000-0600-000003000000}">
      <text>
        <r>
          <rPr>
            <b/>
            <sz val="10"/>
            <color indexed="81"/>
            <rFont val="Tahoma"/>
            <family val="2"/>
          </rPr>
          <t>JJ :</t>
        </r>
        <r>
          <rPr>
            <sz val="10"/>
            <color indexed="81"/>
            <rFont val="Tahoma"/>
            <family val="2"/>
          </rPr>
          <t xml:space="preserve">
on suppose que la quantitée produite est manipulée 2 fois : déposée et chargée</t>
        </r>
      </text>
    </comment>
    <comment ref="I112" authorId="0" shapeId="0" xr:uid="{00000000-0006-0000-0600-000005000000}">
      <text>
        <r>
          <rPr>
            <b/>
            <sz val="10"/>
            <color indexed="81"/>
            <rFont val="Tahoma"/>
            <family val="2"/>
          </rPr>
          <t xml:space="preserve"> : arrosage avec pondération CAT</t>
        </r>
        <r>
          <rPr>
            <sz val="10"/>
            <color indexed="81"/>
            <rFont val="Tahoma"/>
            <family val="2"/>
          </rPr>
          <t xml:space="preserve">
</t>
        </r>
      </text>
    </comment>
    <comment ref="I133" authorId="0" shapeId="0" xr:uid="{00000000-0006-0000-0600-000006000000}">
      <text>
        <r>
          <rPr>
            <b/>
            <sz val="10"/>
            <color indexed="81"/>
            <rFont val="Tahoma"/>
            <family val="2"/>
          </rPr>
          <t xml:space="preserve"> : arrosage avec pondération CAT</t>
        </r>
        <r>
          <rPr>
            <sz val="10"/>
            <color indexed="81"/>
            <rFont val="Tahoma"/>
            <family val="2"/>
          </rPr>
          <t xml:space="preserve">
</t>
        </r>
      </text>
    </comment>
    <comment ref="I154" authorId="0" shapeId="0" xr:uid="{00000000-0006-0000-0600-000007000000}">
      <text>
        <r>
          <rPr>
            <b/>
            <sz val="10"/>
            <color indexed="81"/>
            <rFont val="Tahoma"/>
            <family val="2"/>
          </rPr>
          <t xml:space="preserve"> : arrosage avec pondération CAT</t>
        </r>
        <r>
          <rPr>
            <sz val="10"/>
            <color indexed="81"/>
            <rFont val="Tahoma"/>
            <family val="2"/>
          </rPr>
          <t xml:space="preserve">
</t>
        </r>
      </text>
    </comment>
    <comment ref="I194" authorId="0" shapeId="0" xr:uid="{00000000-0006-0000-0600-000008000000}">
      <text>
        <r>
          <rPr>
            <b/>
            <sz val="10"/>
            <color indexed="81"/>
            <rFont val="Tahoma"/>
            <family val="2"/>
          </rPr>
          <t xml:space="preserve"> : arrosage avec pondération CAT</t>
        </r>
        <r>
          <rPr>
            <sz val="10"/>
            <color indexed="81"/>
            <rFont val="Tahoma"/>
            <family val="2"/>
          </rPr>
          <t xml:space="preserve">
</t>
        </r>
      </text>
    </comment>
    <comment ref="I215" authorId="0" shapeId="0" xr:uid="{00000000-0006-0000-0600-000009000000}">
      <text>
        <r>
          <rPr>
            <b/>
            <sz val="10"/>
            <color indexed="81"/>
            <rFont val="Tahoma"/>
            <family val="2"/>
          </rPr>
          <t xml:space="preserve"> : arrosage avec pondération CAT</t>
        </r>
        <r>
          <rPr>
            <sz val="10"/>
            <color indexed="81"/>
            <rFont val="Tahoma"/>
            <family val="2"/>
          </rPr>
          <t xml:space="preserve">
</t>
        </r>
      </text>
    </comment>
    <comment ref="I236" authorId="0" shapeId="0" xr:uid="{00000000-0006-0000-0600-00000A000000}">
      <text>
        <r>
          <rPr>
            <b/>
            <sz val="10"/>
            <color indexed="81"/>
            <rFont val="Tahoma"/>
            <family val="2"/>
          </rPr>
          <t xml:space="preserve"> : arrosage avec pondération CAT</t>
        </r>
        <r>
          <rPr>
            <sz val="10"/>
            <color indexed="81"/>
            <rFont val="Tahoma"/>
            <family val="2"/>
          </rPr>
          <t xml:space="preserve">
</t>
        </r>
      </text>
    </comment>
    <comment ref="I257" authorId="0" shapeId="0" xr:uid="{00000000-0006-0000-0600-00000B000000}">
      <text>
        <r>
          <rPr>
            <b/>
            <sz val="10"/>
            <color indexed="81"/>
            <rFont val="Tahoma"/>
            <family val="2"/>
          </rPr>
          <t xml:space="preserve"> : arrosage avec pondération CAT</t>
        </r>
        <r>
          <rPr>
            <sz val="10"/>
            <color indexed="81"/>
            <rFont val="Tahoma"/>
            <family val="2"/>
          </rPr>
          <t xml:space="preserve">
</t>
        </r>
      </text>
    </comment>
  </commentList>
</comments>
</file>

<file path=xl/sharedStrings.xml><?xml version="1.0" encoding="utf-8"?>
<sst xmlns="http://schemas.openxmlformats.org/spreadsheetml/2006/main" count="2127" uniqueCount="605">
  <si>
    <t>Zn</t>
  </si>
  <si>
    <t>-</t>
  </si>
  <si>
    <t>n.c</t>
  </si>
  <si>
    <t>Pb</t>
  </si>
  <si>
    <t>Ni</t>
  </si>
  <si>
    <t>Cu</t>
  </si>
  <si>
    <t>Cr</t>
  </si>
  <si>
    <t>Cd</t>
  </si>
  <si>
    <t>As</t>
  </si>
  <si>
    <t>HCl</t>
  </si>
  <si>
    <t>CO</t>
  </si>
  <si>
    <t>Déclaration ?</t>
  </si>
  <si>
    <t>Seuil de déclaration en kg/an</t>
  </si>
  <si>
    <t>Facteur d'émission (kg/t)</t>
  </si>
  <si>
    <t>Consommation annuelle de gazole (t)</t>
  </si>
  <si>
    <t>Poussières totales</t>
  </si>
  <si>
    <t>CA-AP42</t>
  </si>
  <si>
    <t>TIR DE MINE</t>
  </si>
  <si>
    <t>Forage</t>
  </si>
  <si>
    <t>[2]</t>
  </si>
  <si>
    <t>FE</t>
  </si>
  <si>
    <t>kg/trou</t>
  </si>
  <si>
    <t>REF</t>
  </si>
  <si>
    <t>granulo</t>
  </si>
  <si>
    <t>hauteur de trou (m)</t>
  </si>
  <si>
    <t>[6]</t>
  </si>
  <si>
    <t>TSP</t>
  </si>
  <si>
    <t>[3]</t>
  </si>
  <si>
    <t>volume trou ou tir (m3)</t>
  </si>
  <si>
    <t>Volume production (m3)</t>
  </si>
  <si>
    <t>PM10</t>
  </si>
  <si>
    <t>masse vol moy (t/m3)</t>
  </si>
  <si>
    <t>PM2,5</t>
  </si>
  <si>
    <t>Emissions (t)</t>
  </si>
  <si>
    <t>Minage</t>
  </si>
  <si>
    <t>Correspondance UNICEM : 201 000 000 t de granulats massif =&gt; 13m²/trou</t>
  </si>
  <si>
    <t>FE (g/tonne)</t>
  </si>
  <si>
    <t>t</t>
  </si>
  <si>
    <t>Fiche méthodologique n°1 - Forage et Minage</t>
  </si>
  <si>
    <t>X</t>
  </si>
  <si>
    <t>Paramètre</t>
  </si>
  <si>
    <t>Unité</t>
  </si>
  <si>
    <r>
      <t>kg/(</t>
    </r>
    <r>
      <rPr>
        <sz val="8"/>
        <color theme="1"/>
        <rFont val="Arial"/>
        <family val="2"/>
      </rPr>
      <t xml:space="preserve">tir </t>
    </r>
    <r>
      <rPr>
        <sz val="11"/>
        <color theme="1"/>
        <rFont val="Arial"/>
        <family val="2"/>
      </rPr>
      <t xml:space="preserve">x </t>
    </r>
    <r>
      <rPr>
        <sz val="8"/>
        <color theme="1"/>
        <rFont val="Arial"/>
        <family val="2"/>
      </rPr>
      <t>surfaceminée</t>
    </r>
    <r>
      <rPr>
        <sz val="11"/>
        <color theme="1"/>
        <rFont val="Arial"/>
        <family val="2"/>
      </rPr>
      <t>)</t>
    </r>
  </si>
  <si>
    <r>
      <t>m</t>
    </r>
    <r>
      <rPr>
        <vertAlign val="superscript"/>
        <sz val="12"/>
        <color theme="1"/>
        <rFont val="Arial"/>
        <family val="2"/>
      </rPr>
      <t>2</t>
    </r>
    <r>
      <rPr>
        <sz val="12"/>
        <color theme="1"/>
        <rFont val="Arial"/>
        <family val="2"/>
      </rPr>
      <t>/ tir (moyenne annuelle)</t>
    </r>
  </si>
  <si>
    <t>Nombre de trous par an</t>
  </si>
  <si>
    <t>Nombre de tirs par an</t>
  </si>
  <si>
    <t>Valeur
(à renseigner)</t>
  </si>
  <si>
    <t>Composés</t>
  </si>
  <si>
    <t>Tableau 1 - Forage et Minage</t>
  </si>
  <si>
    <t xml:space="preserve">Source : méthodologie et facteurs d’émission de l’AP-42 de l’US EPA (Chapitre 1 « Mineral Product Industry ») </t>
  </si>
  <si>
    <t>km</t>
  </si>
  <si>
    <t>%</t>
  </si>
  <si>
    <t>t/"aller"</t>
  </si>
  <si>
    <t xml:space="preserve">t </t>
  </si>
  <si>
    <t>Nombre de jours/an</t>
  </si>
  <si>
    <t>Nombre d'arrosage/jour</t>
  </si>
  <si>
    <t>Fiche méthodologique n°3 - Transport interne</t>
  </si>
  <si>
    <t>Tableau 1 - Transport interne</t>
  </si>
  <si>
    <t>part de fines</t>
  </si>
  <si>
    <t>[7]</t>
  </si>
  <si>
    <t>FE (g/km)</t>
  </si>
  <si>
    <t>[5]</t>
  </si>
  <si>
    <t>Quantité moyenne transportée par un semi entre le traitement et la sortie</t>
  </si>
  <si>
    <r>
      <t>PM</t>
    </r>
    <r>
      <rPr>
        <b/>
        <vertAlign val="subscript"/>
        <sz val="12"/>
        <color theme="1"/>
        <rFont val="Arial"/>
        <family val="2"/>
      </rPr>
      <t>10</t>
    </r>
  </si>
  <si>
    <t>NON</t>
  </si>
  <si>
    <t>OUI</t>
  </si>
  <si>
    <r>
      <t xml:space="preserve">Poids moyen d'un semi </t>
    </r>
    <r>
      <rPr>
        <b/>
        <sz val="12"/>
        <color theme="1"/>
        <rFont val="Arial"/>
        <family val="2"/>
      </rPr>
      <t>à vide</t>
    </r>
  </si>
  <si>
    <t>Poids moyen transporté</t>
  </si>
  <si>
    <t>EXTRACTION TRAITEMENT</t>
  </si>
  <si>
    <t>TRAITEMENT SORTIE</t>
  </si>
  <si>
    <t>Nombre d'aller-retour</t>
  </si>
  <si>
    <t>kg/tonne</t>
  </si>
  <si>
    <t>Production traitée</t>
  </si>
  <si>
    <t>Type d'extraction</t>
  </si>
  <si>
    <t>Granulats - Exploitation et traitement de roches meubles (alluvionnaires)</t>
  </si>
  <si>
    <t>Granulats - Exploitation et traitement de roches massives (calcaire,grès…)</t>
  </si>
  <si>
    <t>Granulats - Recyclage</t>
  </si>
  <si>
    <t>Exploitation de carrières pour la production de chaux</t>
  </si>
  <si>
    <t>Exploitation de carrières pour la production de carbonates naturels, craie</t>
  </si>
  <si>
    <t>Exploitation de carrières pour la production de minéraux industriels</t>
  </si>
  <si>
    <t>Exploitation de carrières pour la production de plâtre, gypse</t>
  </si>
  <si>
    <t>Type de carrières</t>
  </si>
  <si>
    <t>Sèche</t>
  </si>
  <si>
    <t>Humide</t>
  </si>
  <si>
    <t>Exploitation de carrières pour la production de tuiles, briques, poteries</t>
  </si>
  <si>
    <t>Exploitation de carrières pour la production de roches ornementales et de construction</t>
  </si>
  <si>
    <r>
      <t>Nombre de jours de pluie ou de neige dans l'année (</t>
    </r>
    <r>
      <rPr>
        <i/>
        <sz val="12"/>
        <color theme="1"/>
        <rFont val="Arial"/>
        <family val="2"/>
      </rPr>
      <t>cf.</t>
    </r>
    <r>
      <rPr>
        <sz val="12"/>
        <color theme="1"/>
        <rFont val="Arial"/>
        <family val="2"/>
      </rPr>
      <t>météo locale)</t>
    </r>
  </si>
  <si>
    <t>MANUTENTION</t>
  </si>
  <si>
    <t>arrosage stock</t>
  </si>
  <si>
    <t>[4]</t>
  </si>
  <si>
    <t>abattement lié à l'arrosage</t>
  </si>
  <si>
    <t>[12]</t>
  </si>
  <si>
    <t>m/s</t>
  </si>
  <si>
    <t>vitesse moyenne du vent (m/s)</t>
  </si>
  <si>
    <t>quantité manipulée (sans unité)</t>
  </si>
  <si>
    <t>FE (kg/t)</t>
  </si>
  <si>
    <t>Surface exposée (m2)</t>
  </si>
  <si>
    <t>sables fillérisés (10-12%)</t>
  </si>
  <si>
    <t>graves (6-8%)</t>
  </si>
  <si>
    <t>cailloux et gravillons (1-2%)</t>
  </si>
  <si>
    <t>FE (kg/m2)</t>
  </si>
  <si>
    <t>Emissions (kg)</t>
  </si>
  <si>
    <t>Efficacité</t>
  </si>
  <si>
    <t>Taux d'application (L/m2)</t>
  </si>
  <si>
    <t>sables lavés (0%)</t>
  </si>
  <si>
    <t>Efficacité correspondante</t>
  </si>
  <si>
    <t>Arrosage des stocks - Proportion du stock arrosé</t>
  </si>
  <si>
    <t>stock moyen annuel (t)</t>
  </si>
  <si>
    <t>Proportion des pistes non revêtues arrosées (hors jour de pluie)</t>
  </si>
  <si>
    <t>Fiche n°1</t>
  </si>
  <si>
    <t>Fiche n°2</t>
  </si>
  <si>
    <t>Fiche n°3</t>
  </si>
  <si>
    <t>L'exploitant doit-il rempli cette fiche ?</t>
  </si>
  <si>
    <t>Installation de transformation</t>
  </si>
  <si>
    <t>Transport interne</t>
  </si>
  <si>
    <t>Fiche n°1 - Forage et minage</t>
  </si>
  <si>
    <t>Fiche n°3 - Transport interne</t>
  </si>
  <si>
    <t>Fiche n°4 - Gestion des stocks (chargement/ déchargement)</t>
  </si>
  <si>
    <t>Fiche n°5 - Erosion des stocks</t>
  </si>
  <si>
    <t>FORAGE MINAGE</t>
  </si>
  <si>
    <t>Forage/minage</t>
  </si>
  <si>
    <t>TRANSPORT INTERNE</t>
  </si>
  <si>
    <r>
      <t>Remplir complétement les cases jaunes</t>
    </r>
    <r>
      <rPr>
        <b/>
        <u/>
        <sz val="12"/>
        <color rgb="FFFF0000"/>
        <rFont val="Arial"/>
        <family val="2"/>
      </rPr>
      <t/>
    </r>
  </si>
  <si>
    <t>Déclaration des émissions polluantes</t>
  </si>
  <si>
    <t>Surface moyenne /tir (m²)</t>
  </si>
  <si>
    <t>Concasseur primaire n°</t>
  </si>
  <si>
    <t>Concasseur secondaire n°</t>
  </si>
  <si>
    <t>concasseur tertiaire n°</t>
  </si>
  <si>
    <t>crible primaire n°</t>
  </si>
  <si>
    <t>crible secondaire n°</t>
  </si>
  <si>
    <t>crible tertiaire n°</t>
  </si>
  <si>
    <t>tertiaire</t>
  </si>
  <si>
    <t>secondaire</t>
  </si>
  <si>
    <t>primaire</t>
  </si>
  <si>
    <t>crible</t>
  </si>
  <si>
    <t>concasseur</t>
  </si>
  <si>
    <t>nb de pt de transfert par équipement</t>
  </si>
  <si>
    <t>débit</t>
  </si>
  <si>
    <t>point de transfert</t>
  </si>
  <si>
    <t>kg</t>
  </si>
  <si>
    <t>Exploitation de carrières pour la production de ciment</t>
  </si>
  <si>
    <t>Nombre de jours où la vitesse du vent dépasse 16m/s (cf météo locale)</t>
  </si>
  <si>
    <t>Taux d'humidité du matériau stocké</t>
  </si>
  <si>
    <t>Tableau 1 - Gestion et érosion des stocks (à l'air libre)</t>
  </si>
  <si>
    <t>Tonnage évacué par voie routière</t>
  </si>
  <si>
    <t>Tonnage évacué par voie navigable</t>
  </si>
  <si>
    <t>Tonnage évacué par voie ferrée</t>
  </si>
  <si>
    <t>Tonnage évacué par autres moyens (bandes transporteuses…)</t>
  </si>
  <si>
    <t xml:space="preserve">Distance: linéaire "aller" entre les stocks (point de chargement) et la sortie de la carrière pour l'évacuation par voie routière </t>
  </si>
  <si>
    <t>m</t>
  </si>
  <si>
    <t>Conditions climatiques</t>
  </si>
  <si>
    <t>Vitesse moyenne/an du vent (cf.météo locale)</t>
  </si>
  <si>
    <t>Nom du site</t>
  </si>
  <si>
    <t xml:space="preserve"> </t>
  </si>
  <si>
    <t>Méthodologie</t>
  </si>
  <si>
    <t>Les émissions de poussières totales et de PM10 sont calculées dans l’outil Excel à partir des équations suivantes :</t>
  </si>
  <si>
    <t>Dans cette activité sont considérées les émissions du forage en général ou du forage de trous de minage particulier et du minage (fracturation, détachement, glissement) de roche solide à l’aide d’explosifs. Seules les installations déclarées ou autorisées pour la rubrique ICPE 2510 peuvent être concernées par cette fiche de calcul.</t>
  </si>
  <si>
    <t>Référence bibliographique : US-EPA, AP-42, 5ème édition recueil de facteurs d’émission de polluants atmosphériques – Volume 1, chapitre 11 Mineral Products Industry</t>
  </si>
  <si>
    <t>Dans cette activité sont considérées les émissions des installations de transformation des carrières. Il s’agit d’unités déclarées ou autorisées pour la rubrique 2515.</t>
  </si>
  <si>
    <t>Etape de l’unité de traitement</t>
  </si>
  <si>
    <t>Concassage</t>
  </si>
  <si>
    <t>Criblage</t>
  </si>
  <si>
    <t>Point de transfert</t>
  </si>
  <si>
    <t>Etapes de l’unité de traitement</t>
  </si>
  <si>
    <t>ER (Facteur d’abattement)</t>
  </si>
  <si>
    <t>Concasseur</t>
  </si>
  <si>
    <t>Bardage partiel</t>
  </si>
  <si>
    <t>Aucun contrôle</t>
  </si>
  <si>
    <t>Dans cette activité sont considérées les émissions du transport interne au sein des carrières sur les routes revêtues et non revêtues. Il s’agit d’unités déclarées ou autorisées pour la rubrique 2516 ou 2517.</t>
  </si>
  <si>
    <t>Techniques de contrôle des poussières</t>
  </si>
  <si>
    <t>Pourcentage de jours de pluie au cours de l’année</t>
  </si>
  <si>
    <t>(Nombre de jour de pluie/365) %</t>
  </si>
  <si>
    <t>Arrosage 2 fois par jour</t>
  </si>
  <si>
    <t>Arrosage plus de 2 fois par jour</t>
  </si>
  <si>
    <t>Teneur moyenne en fines</t>
  </si>
  <si>
    <t>sables lavés</t>
  </si>
  <si>
    <t>sables fillérisés</t>
  </si>
  <si>
    <t>10-12%</t>
  </si>
  <si>
    <t>graves</t>
  </si>
  <si>
    <t>6-8%</t>
  </si>
  <si>
    <t>cailloux et gravillons</t>
  </si>
  <si>
    <t>1-2%</t>
  </si>
  <si>
    <t>Fiches méthodologiques concernant l'installation (sélection par défaut selon le type de carrière, peut être modifié par l'exploitant)</t>
  </si>
  <si>
    <t>Tableau 1 - Traitement</t>
  </si>
  <si>
    <t>Surface minée/tir  (moyenne annuelle)</t>
  </si>
  <si>
    <t>hors d'eau</t>
  </si>
  <si>
    <t>en eau</t>
  </si>
  <si>
    <t>Hors d'eau ou en eau</t>
  </si>
  <si>
    <t>Sec
non contrôlée</t>
  </si>
  <si>
    <t>Etape du traitement</t>
  </si>
  <si>
    <t>Débit (% de la production traitée)</t>
  </si>
  <si>
    <t>Primaire</t>
  </si>
  <si>
    <t>Secondaire</t>
  </si>
  <si>
    <t>Tertiaire</t>
  </si>
  <si>
    <t>L/m2</t>
  </si>
  <si>
    <t>oui/non</t>
  </si>
  <si>
    <t>Département</t>
  </si>
  <si>
    <t xml:space="preserve">1-Ain </t>
  </si>
  <si>
    <t xml:space="preserve">2-Aisne </t>
  </si>
  <si>
    <t xml:space="preserve">3-Allier </t>
  </si>
  <si>
    <t xml:space="preserve">4-Alpes-de-Haute-Provence </t>
  </si>
  <si>
    <t xml:space="preserve">5-Hautes-Alpes </t>
  </si>
  <si>
    <t xml:space="preserve">6-Alpes-Maritimes </t>
  </si>
  <si>
    <t xml:space="preserve">7-Ardèche </t>
  </si>
  <si>
    <t xml:space="preserve">8-Ardennes </t>
  </si>
  <si>
    <t xml:space="preserve">9-Ariège </t>
  </si>
  <si>
    <t xml:space="preserve">10-Aube </t>
  </si>
  <si>
    <t xml:space="preserve">11-Aude </t>
  </si>
  <si>
    <t xml:space="preserve">12-Aveyron </t>
  </si>
  <si>
    <t xml:space="preserve">13-Bouches-du-Rhône </t>
  </si>
  <si>
    <t xml:space="preserve">14-Calvados </t>
  </si>
  <si>
    <t xml:space="preserve">15-Cantal </t>
  </si>
  <si>
    <t xml:space="preserve">16-Charente </t>
  </si>
  <si>
    <t xml:space="preserve">17-Charente-Maritime </t>
  </si>
  <si>
    <t xml:space="preserve">18-Cher </t>
  </si>
  <si>
    <t xml:space="preserve">19-Corrèze </t>
  </si>
  <si>
    <t xml:space="preserve">21-Côte-d'Or </t>
  </si>
  <si>
    <t xml:space="preserve">22-Côtes-d'Armor </t>
  </si>
  <si>
    <t xml:space="preserve">23-Creuse </t>
  </si>
  <si>
    <t xml:space="preserve">24-Dordogne </t>
  </si>
  <si>
    <t xml:space="preserve">25-Doubs </t>
  </si>
  <si>
    <t xml:space="preserve">26-Drôme </t>
  </si>
  <si>
    <t xml:space="preserve">27-Eure </t>
  </si>
  <si>
    <t xml:space="preserve">28-Eure-et-Loir </t>
  </si>
  <si>
    <t xml:space="preserve">29-Finistère </t>
  </si>
  <si>
    <t xml:space="preserve">30-Gard </t>
  </si>
  <si>
    <t xml:space="preserve">31-Haute-Garonne </t>
  </si>
  <si>
    <t xml:space="preserve">32-Gers </t>
  </si>
  <si>
    <t xml:space="preserve">33-Gironde </t>
  </si>
  <si>
    <t xml:space="preserve">34-Hérault </t>
  </si>
  <si>
    <t xml:space="preserve">35-Ille-et-Vilaine </t>
  </si>
  <si>
    <t xml:space="preserve">36-Indre </t>
  </si>
  <si>
    <t xml:space="preserve">37-Indre-et-Loire </t>
  </si>
  <si>
    <t xml:space="preserve">38-Isère </t>
  </si>
  <si>
    <t xml:space="preserve">39-Jura </t>
  </si>
  <si>
    <t xml:space="preserve">40-Landes </t>
  </si>
  <si>
    <t xml:space="preserve">41-Loir-et-Cher </t>
  </si>
  <si>
    <t xml:space="preserve">42-Loire </t>
  </si>
  <si>
    <t xml:space="preserve">43-Haute-Loire </t>
  </si>
  <si>
    <t xml:space="preserve">44-Loire-Atlantique </t>
  </si>
  <si>
    <t xml:space="preserve">45-Loiret </t>
  </si>
  <si>
    <t xml:space="preserve">46-Lot </t>
  </si>
  <si>
    <t xml:space="preserve">47-Lot-et-Garonne </t>
  </si>
  <si>
    <t xml:space="preserve">48-Lozère </t>
  </si>
  <si>
    <t xml:space="preserve">49-Maine-et-Loire </t>
  </si>
  <si>
    <t xml:space="preserve">50-Manche </t>
  </si>
  <si>
    <t xml:space="preserve">51-Marne </t>
  </si>
  <si>
    <t xml:space="preserve">52-Haute-Marne </t>
  </si>
  <si>
    <t xml:space="preserve">53-Mayenne </t>
  </si>
  <si>
    <t xml:space="preserve">54-Meurthe-et-Moselle </t>
  </si>
  <si>
    <t xml:space="preserve">55-Meuse </t>
  </si>
  <si>
    <t xml:space="preserve">56-Morbihan </t>
  </si>
  <si>
    <t xml:space="preserve">57-Moselle </t>
  </si>
  <si>
    <t xml:space="preserve">58-Nièvre </t>
  </si>
  <si>
    <t xml:space="preserve">59-Nord </t>
  </si>
  <si>
    <t xml:space="preserve">60-Oise </t>
  </si>
  <si>
    <t xml:space="preserve">61-Orne </t>
  </si>
  <si>
    <t xml:space="preserve">62-Pas-de-Calais </t>
  </si>
  <si>
    <t xml:space="preserve">63-Puy-de-Dôme </t>
  </si>
  <si>
    <t xml:space="preserve">64-Pyrénées-Atlantiques </t>
  </si>
  <si>
    <t xml:space="preserve">65-Hautes-Pyrénées </t>
  </si>
  <si>
    <t xml:space="preserve">66-Pyrénées-Orientales </t>
  </si>
  <si>
    <t xml:space="preserve">67-Bas-Rhin </t>
  </si>
  <si>
    <t xml:space="preserve">68-Haut-Rhin </t>
  </si>
  <si>
    <t xml:space="preserve">69-Rhône </t>
  </si>
  <si>
    <t xml:space="preserve">70-Haute-Saône </t>
  </si>
  <si>
    <t xml:space="preserve">71-Saône-et-Loire </t>
  </si>
  <si>
    <t xml:space="preserve">72-Sarthe </t>
  </si>
  <si>
    <t xml:space="preserve">73-Savoie </t>
  </si>
  <si>
    <t xml:space="preserve">74-Haute-Savoie </t>
  </si>
  <si>
    <t xml:space="preserve">75-Paris </t>
  </si>
  <si>
    <t xml:space="preserve">76-Seine-Maritime </t>
  </si>
  <si>
    <t xml:space="preserve">77-Seine-et-Marne </t>
  </si>
  <si>
    <t xml:space="preserve">78-Yvelines </t>
  </si>
  <si>
    <t xml:space="preserve">79-Deux-Sèvres </t>
  </si>
  <si>
    <t xml:space="preserve">80-Somme </t>
  </si>
  <si>
    <t xml:space="preserve">81-Tarn </t>
  </si>
  <si>
    <t xml:space="preserve">82-Tarn-et-Garonne </t>
  </si>
  <si>
    <t xml:space="preserve">83-Var </t>
  </si>
  <si>
    <t xml:space="preserve">84-Vaucluse </t>
  </si>
  <si>
    <t xml:space="preserve">85-Vendée </t>
  </si>
  <si>
    <t xml:space="preserve">86-Vienne </t>
  </si>
  <si>
    <t xml:space="preserve">87-Haute-Vienne </t>
  </si>
  <si>
    <t xml:space="preserve">88-Vosges </t>
  </si>
  <si>
    <t xml:space="preserve">89-Yonne </t>
  </si>
  <si>
    <t xml:space="preserve">90-Territoire de Belfort </t>
  </si>
  <si>
    <t xml:space="preserve">91-Essonne </t>
  </si>
  <si>
    <t xml:space="preserve">92-Hauts-de-Seine </t>
  </si>
  <si>
    <t xml:space="preserve">93-Seine-Saint-Denis </t>
  </si>
  <si>
    <t xml:space="preserve">94-Val-de-Marne </t>
  </si>
  <si>
    <t xml:space="preserve">95-Val-d'Oise </t>
  </si>
  <si>
    <t xml:space="preserve">2A -Corse-du-Sud </t>
  </si>
  <si>
    <t xml:space="preserve">2B-Haute-Corse </t>
  </si>
  <si>
    <t>Vérification automatique</t>
  </si>
  <si>
    <t>V vent moy (m/s)</t>
  </si>
  <si>
    <t>nb jour Pluie</t>
  </si>
  <si>
    <t>nb jour ventsup16</t>
  </si>
  <si>
    <t>Nombre de jours de pluie ou de neige dans l'année (cf.météo locale)</t>
  </si>
  <si>
    <t>Données météo locale disponibles?</t>
  </si>
  <si>
    <t>Installations de traitements sans extraction (ICPE 2515)</t>
  </si>
  <si>
    <t>Seuils de déclaration</t>
  </si>
  <si>
    <t>Avant-propos</t>
  </si>
  <si>
    <t>Version de l'outil :</t>
  </si>
  <si>
    <t>Date de mise à jour :</t>
  </si>
  <si>
    <t>en eau ou hors d'eau</t>
  </si>
  <si>
    <t>FE (g/tonne stockée)</t>
  </si>
  <si>
    <t>SEULES LES INSTALLATIONS ICPE SOUMISES A AUTORISATION OU ENREGISTREMENT SONT CONCERNEES PAR CETTE DECLARATION</t>
  </si>
  <si>
    <r>
      <t>FE</t>
    </r>
    <r>
      <rPr>
        <b/>
        <vertAlign val="subscript"/>
        <sz val="12"/>
        <color theme="1"/>
        <rFont val="Arial"/>
        <family val="2"/>
      </rPr>
      <t>TSP</t>
    </r>
    <r>
      <rPr>
        <b/>
        <sz val="12"/>
        <color theme="1"/>
        <rFont val="Arial"/>
        <family val="2"/>
      </rPr>
      <t xml:space="preserve"> (kg/t)</t>
    </r>
  </si>
  <si>
    <r>
      <t>FE</t>
    </r>
    <r>
      <rPr>
        <b/>
        <vertAlign val="subscript"/>
        <sz val="12"/>
        <color theme="1"/>
        <rFont val="Arial"/>
        <family val="2"/>
      </rPr>
      <t>PM10</t>
    </r>
    <r>
      <rPr>
        <b/>
        <sz val="12"/>
        <color theme="1"/>
        <rFont val="Arial"/>
        <family val="2"/>
      </rPr>
      <t xml:space="preserve"> (kg/t)</t>
    </r>
  </si>
  <si>
    <t>Facteur d'émission lié au traitement (g/tonne traitée)</t>
  </si>
  <si>
    <t>Facteur d'émission lié au transport interne (g/tonne de quantité extraite et transportée)</t>
  </si>
  <si>
    <t>Facteur d'émissions lié au forage minage (g/tonne extraite)</t>
  </si>
  <si>
    <t>Année pour laquelle les émissions sont déclarées (N-1)</t>
  </si>
  <si>
    <t>Quantité extraite par forage et minage</t>
  </si>
  <si>
    <t>0% : matériaux lavés</t>
  </si>
  <si>
    <t>matériaux à 1-2% (ex : cailloux et gravillons)</t>
  </si>
  <si>
    <t>matériaux à 6-8% (graves)</t>
  </si>
  <si>
    <t>matériaux à 10-12% (ex : sables fillérisés)</t>
  </si>
  <si>
    <t>Crible</t>
  </si>
  <si>
    <t xml:space="preserve">Quel type de carrière ? </t>
  </si>
  <si>
    <t>Quantité annuelle de gisement extraite et transportée par engins de carrière sur cette même distance</t>
  </si>
  <si>
    <r>
      <t xml:space="preserve">Poids moyen </t>
    </r>
    <r>
      <rPr>
        <b/>
        <sz val="12"/>
        <rFont val="Arial"/>
        <family val="2"/>
      </rPr>
      <t>à vide</t>
    </r>
    <r>
      <rPr>
        <sz val="12"/>
        <rFont val="Arial"/>
        <family val="2"/>
      </rPr>
      <t xml:space="preserve"> des engins de carrière utilisés sur cette même distance</t>
    </r>
  </si>
  <si>
    <t>Poids moyen à vide des engins de carrière utilisés sur cette même distance</t>
  </si>
  <si>
    <t>Emission totale liée au traitement (t/an)</t>
  </si>
  <si>
    <t>Emission totale liée au traitement (kg/an)</t>
  </si>
  <si>
    <t>Emission totale liée au forage/minage (t/an)</t>
  </si>
  <si>
    <t>Emission totale liée au forage/minage (kg/an)</t>
  </si>
  <si>
    <t>Emission totale liée au transport interne (t/an)</t>
  </si>
  <si>
    <t>Emission totale liée au transport interne (kg/an)</t>
  </si>
  <si>
    <t>Poussières totales (en kg/an)</t>
  </si>
  <si>
    <t>PM10 (en kg/an)</t>
  </si>
  <si>
    <t>Emission (kg/an)</t>
  </si>
  <si>
    <t>Part de piste revêtue (enrobé, béton, surface traitée...) sur cette même distance (approche gisement)</t>
  </si>
  <si>
    <t>Part de piste revêtue (enrobé, béton, surface traitée...) sur cette même distance (approche sortie)</t>
  </si>
  <si>
    <t>Surface minée/tir (moyenne annuelle)</t>
  </si>
  <si>
    <r>
      <t>CH</t>
    </r>
    <r>
      <rPr>
        <b/>
        <vertAlign val="subscript"/>
        <sz val="12"/>
        <color theme="1"/>
        <rFont val="Arial"/>
        <family val="2"/>
      </rPr>
      <t>4</t>
    </r>
  </si>
  <si>
    <r>
      <t>CO</t>
    </r>
    <r>
      <rPr>
        <b/>
        <vertAlign val="subscript"/>
        <sz val="12"/>
        <color theme="1"/>
        <rFont val="Arial"/>
        <family val="2"/>
      </rPr>
      <t>2</t>
    </r>
  </si>
  <si>
    <r>
      <t>NO</t>
    </r>
    <r>
      <rPr>
        <b/>
        <vertAlign val="subscript"/>
        <sz val="12"/>
        <color theme="1"/>
        <rFont val="Arial"/>
        <family val="2"/>
      </rPr>
      <t>x</t>
    </r>
  </si>
  <si>
    <r>
      <t>SO</t>
    </r>
    <r>
      <rPr>
        <b/>
        <vertAlign val="subscript"/>
        <sz val="12"/>
        <color theme="1"/>
        <rFont val="Arial"/>
        <family val="2"/>
      </rPr>
      <t>2</t>
    </r>
  </si>
  <si>
    <r>
      <t xml:space="preserve">Fiche n°2 - Installation de transformation </t>
    </r>
    <r>
      <rPr>
        <b/>
        <sz val="12"/>
        <rFont val="Arial"/>
        <family val="2"/>
      </rPr>
      <t>(ICPE 2515)</t>
    </r>
  </si>
  <si>
    <r>
      <t>CH</t>
    </r>
    <r>
      <rPr>
        <vertAlign val="subscript"/>
        <sz val="12"/>
        <color theme="1"/>
        <rFont val="Arial"/>
        <family val="2"/>
      </rPr>
      <t>4</t>
    </r>
  </si>
  <si>
    <r>
      <t>CO</t>
    </r>
    <r>
      <rPr>
        <vertAlign val="subscript"/>
        <sz val="12"/>
        <color theme="1"/>
        <rFont val="Arial"/>
        <family val="2"/>
      </rPr>
      <t>2</t>
    </r>
  </si>
  <si>
    <r>
      <t>NO</t>
    </r>
    <r>
      <rPr>
        <vertAlign val="subscript"/>
        <sz val="12"/>
        <color theme="1"/>
        <rFont val="Arial"/>
        <family val="2"/>
      </rPr>
      <t>x</t>
    </r>
  </si>
  <si>
    <r>
      <t>SO</t>
    </r>
    <r>
      <rPr>
        <vertAlign val="subscript"/>
        <sz val="12"/>
        <color theme="1"/>
        <rFont val="Arial"/>
        <family val="2"/>
      </rPr>
      <t>2</t>
    </r>
  </si>
  <si>
    <r>
      <t>m</t>
    </r>
    <r>
      <rPr>
        <vertAlign val="superscript"/>
        <sz val="12"/>
        <color theme="1"/>
        <rFont val="Arial"/>
        <family val="2"/>
      </rPr>
      <t>2</t>
    </r>
  </si>
  <si>
    <r>
      <rPr>
        <b/>
        <sz val="12"/>
        <color theme="1"/>
        <rFont val="Arial"/>
        <family val="2"/>
      </rPr>
      <t>TRAITEMENT - CRIBLAGE</t>
    </r>
    <r>
      <rPr>
        <sz val="12"/>
        <color theme="1"/>
        <rFont val="Arial"/>
        <family val="2"/>
      </rPr>
      <t xml:space="preserve"> :</t>
    </r>
    <r>
      <rPr>
        <b/>
        <sz val="12"/>
        <color theme="1"/>
        <rFont val="Arial"/>
        <family val="2"/>
      </rPr>
      <t xml:space="preserve"> détail des installations et prise en compte des systèmes de traitement (bardage, lavage, dépoussiérage, etc.) par niveau</t>
    </r>
  </si>
  <si>
    <t>Concasseur tertiaire n°</t>
  </si>
  <si>
    <t>Crible primaire n°</t>
  </si>
  <si>
    <t>Crible tertiaire n°</t>
  </si>
  <si>
    <t>Crible secondaire n°</t>
  </si>
  <si>
    <t>Pulvérisation d'eau</t>
  </si>
  <si>
    <t>nombre d'arrosage/jour</t>
  </si>
  <si>
    <t>nombre de jours/an</t>
  </si>
  <si>
    <t>Emissions canalisées</t>
  </si>
  <si>
    <t>Charge utile moyenne des engins de carrière utilisés sur cette même distance</t>
  </si>
  <si>
    <t>Résultats toutes pistes</t>
  </si>
  <si>
    <t xml:space="preserve">Résultats </t>
  </si>
  <si>
    <t>Emissions</t>
  </si>
  <si>
    <t>Les détails des points de transfert n'est pas à renseigner.
Une hypothèse de 3 points de transfert par équipement a été prise pour les calculs. Cette hypothèse est issue d'une analyse statistique des données récoltées par l'UNICEM dans le cadre de l'élaboration de cet outil.
L'abattement lié à l'aspersion d'eau est appliqué aux points de transfert lorsque l'équipement auquel il est rattaché en est équipé.</t>
  </si>
  <si>
    <t>Moyens de traitement des poussières</t>
  </si>
  <si>
    <t>Quantité extraite par forage et minage (t)</t>
  </si>
  <si>
    <t>nb de trou par an</t>
  </si>
  <si>
    <t>% d'abattement</t>
  </si>
  <si>
    <t>km de pistes revêtues</t>
  </si>
  <si>
    <t>km de pistes non revêtues</t>
  </si>
  <si>
    <t>t (moyenne des types de d'engins)</t>
  </si>
  <si>
    <t>t.km transporté sur pistes revêtues</t>
  </si>
  <si>
    <t>t.km transporté sur pistes non revêtues</t>
  </si>
  <si>
    <t>Emissions (t) - Pistes non revêtues</t>
  </si>
  <si>
    <t>Emissions (t) - Pistes revêtues</t>
  </si>
  <si>
    <t>Emissions (t) - Pistes revêtues et non revêtues</t>
  </si>
  <si>
    <t>Résultats</t>
  </si>
  <si>
    <t>réelle</t>
  </si>
  <si>
    <t>sans abattement</t>
  </si>
  <si>
    <t>Emissions (t) - Pistes non revêtues sans arrosage</t>
  </si>
  <si>
    <t>Dans cette activité sont considérées les émissions liées à la manipulation des stocks (création du stock et chargement dans la benne) et à l’érosion par le vent des surfaces de stocks. Il s’agit d’unités déclarées ou autorisées pour la rubrique 2516 ou 2517.</t>
  </si>
  <si>
    <t>Emission totale liée à la gestion des stocks (t/an)</t>
  </si>
  <si>
    <t>Emission totale liée à la gestion des stocks (kg/an)</t>
  </si>
  <si>
    <t>Facteur d'émission lié à la gestion des stocks (g/tonne stockée)</t>
  </si>
  <si>
    <t>Emission totale liée à l'érosion des stocks par le vent  (kg/an)</t>
  </si>
  <si>
    <t>Emission totale liée à l'érosion des stocks par le vent (t/an)</t>
  </si>
  <si>
    <t>Facteur d'émission lié à l'érosion des stocks par le vent (g/tonne stockée)</t>
  </si>
  <si>
    <t>Il n'y a pas de système d'abattement proposé pour la manutention des stocks</t>
  </si>
  <si>
    <t>Emissions hors abattement (kg)</t>
  </si>
  <si>
    <t>Emissions hors abattement (t)</t>
  </si>
  <si>
    <t>Erosion des stocks</t>
  </si>
  <si>
    <t>Gestion des stocks</t>
  </si>
  <si>
    <t>Total émis</t>
  </si>
  <si>
    <t>Quantité de pousières abattues grâce à la mise en place de systèmes de réduction des émissions</t>
  </si>
  <si>
    <t>Quantité de pousières abattues grâce à la mise en place de systèmes de réduction des émissions (kg/an)</t>
  </si>
  <si>
    <t>Valeur</t>
  </si>
  <si>
    <t>Fréquence d'arrosage des pistes par jour (hors jour de pluie)  (approche gisement)</t>
  </si>
  <si>
    <t>Fréquence d'arrosage des pistes par jour (hors jour de pluie) (approche sortie)</t>
  </si>
  <si>
    <t>Proportion des pistes non revêtues arrosées (hors jour de pluie) (approche sortie)</t>
  </si>
  <si>
    <t>Taux d'application moyen (valeur par défaut, 50% d'abattement)</t>
  </si>
  <si>
    <t>EXTRACTION ET SORTIE</t>
  </si>
  <si>
    <t>Distance linéaire "aller" de pistes empruntées par engins de carrière entre l'extraction et les installations de traitement</t>
  </si>
  <si>
    <t>Fiche n°5</t>
  </si>
  <si>
    <t>Fiche n°4</t>
  </si>
  <si>
    <t>Fiche de renseignement - Emissions de poussières</t>
  </si>
  <si>
    <t>Seuil de déclaration GEREP (kg/an)</t>
  </si>
  <si>
    <t>Déclaration GEREP?</t>
  </si>
  <si>
    <t>Quantité à déclarer sous GEREP (en kg/an)</t>
  </si>
  <si>
    <t>kg/an</t>
  </si>
  <si>
    <t>Approche gisement - engins de carrières (dumpers)</t>
  </si>
  <si>
    <t>Approche Sortie de site / Chargement ventes - poids-lourds</t>
  </si>
  <si>
    <t>Département (indication permettant de faire le lien avec les données météorologiques)</t>
  </si>
  <si>
    <t xml:space="preserve">Erosion : </t>
  </si>
  <si>
    <t>Manipulation des stocks</t>
  </si>
  <si>
    <t>Cet outil a été développé par le CITEPA en collaboration avec l'UNICEM et l'ATILH à l'attention des exploitants de carrières et d'installations de premier traitement des matériaux.</t>
  </si>
  <si>
    <r>
      <t xml:space="preserve">Cet outil est une aide à la déclaration sur le portail GEREP des émissions de poussières sur les carrières et les installations de premier traitement </t>
    </r>
    <r>
      <rPr>
        <i/>
        <sz val="12"/>
        <color theme="1"/>
        <rFont val="Arial"/>
        <family val="2"/>
      </rPr>
      <t>(Application de l’arrêté du 31 janvier 2008 modifié relatif au registre et à la déclaration annuelle des émissions polluantes et des déchets).</t>
    </r>
  </si>
  <si>
    <t>Un guide accompagne cet outil : "GUIDE METHODOLOGIQUE D’AIDE A LA DECLARATION ANNUELLE DES EMISSIONS POLLUANTES ET DES DECHETS A L’ATTENTION DES EXPLOITANTS DE CARRIERES ET D’INSTALLATIONS DE PREMIER TRAITEMENT DES MATERIAUX" disponible en téléchargement sur le portail GEREP.</t>
  </si>
  <si>
    <t>Attention : Si la ligne est grisée, "NON" doit être indiqué dans les trois colonnes pour toutes les lignes.</t>
  </si>
  <si>
    <t>matériaux lavés (0%)</t>
  </si>
  <si>
    <r>
      <t xml:space="preserve">TRAITEMENT </t>
    </r>
    <r>
      <rPr>
        <b/>
        <sz val="12"/>
        <rFont val="Arial"/>
        <family val="2"/>
      </rPr>
      <t>(ICPE 2515)</t>
    </r>
  </si>
  <si>
    <t>Emissions diffuses</t>
  </si>
  <si>
    <t>Emissions diffuses liées au traitement (t/an)</t>
  </si>
  <si>
    <t>Emissions diffuses liées au traitement (kg/an)</t>
  </si>
  <si>
    <t>Facteur d'émission lié aux émissions diffuses du traitement (g/tonne traitée)</t>
  </si>
  <si>
    <t>2a - Méthodologie pour les émissions diffuses</t>
  </si>
  <si>
    <t>Fiche méthodologique n°2 - Traitement (émissions diffuses et canalisées)</t>
  </si>
  <si>
    <t>2b - Méthodologie pour les émissions canalisées</t>
  </si>
  <si>
    <t>Emissions canalisées liées au traitement (t/an)</t>
  </si>
  <si>
    <t>Emissions canalisées liées au traitement (kg/an)</t>
  </si>
  <si>
    <t xml:space="preserve">Où :
• ETSP et EPM10 sont respectivement les masses de TSP et PM10 émises (en kg),
</t>
  </si>
  <si>
    <t>• P est la production annuelle traitée (en t),</t>
  </si>
  <si>
    <t>• Débit est le débit traversant l’étape du procédé de traitement dont la valeur varie selon chaque étape du traitement,</t>
  </si>
  <si>
    <t>• ER est le facteur d’abattement (en %), variant selon la technique de réduction mise en œuvre au sein de l’unité de transformation.
Les facteurs d'émission utilisés sont des facteurs par défaut : ils ne tiennent pas compte du type de matériaux</t>
  </si>
  <si>
    <t>Les facteurs d'émission utilisés sont des facteurs par défaut : ils ne tiennent pas compte du type de matériaux</t>
  </si>
  <si>
    <r>
      <t>• FE</t>
    </r>
    <r>
      <rPr>
        <vertAlign val="subscript"/>
        <sz val="12"/>
        <color theme="1"/>
        <rFont val="Arial"/>
        <family val="2"/>
      </rPr>
      <t>TSP</t>
    </r>
    <r>
      <rPr>
        <sz val="12"/>
        <color theme="1"/>
        <rFont val="Arial"/>
        <family val="2"/>
      </rPr>
      <t xml:space="preserve"> et FE</t>
    </r>
    <r>
      <rPr>
        <vertAlign val="subscript"/>
        <sz val="12"/>
        <color theme="1"/>
        <rFont val="Arial"/>
        <family val="2"/>
      </rPr>
      <t>PM10</t>
    </r>
    <r>
      <rPr>
        <sz val="12"/>
        <color theme="1"/>
        <rFont val="Arial"/>
        <family val="2"/>
      </rPr>
      <t xml:space="preserve"> sont respectivement les facteurs d’émission de TSP et PM10 (en kg/t) dont la valeur varie selon chaque étape du traitement et selon le taux d’humidité de la roche,</t>
    </r>
  </si>
  <si>
    <t>Les émissions de poussières totales et de PM10 diffuses sont calculées dans l’outil Excel à partir des équations suivantes :</t>
  </si>
  <si>
    <t>Dans le cas d’une unité entièrement capotée, équipée d’une extraction d’air reliée à une cheminée, les particules (TSP et PM10) peuvent être mesurées.</t>
  </si>
  <si>
    <r>
      <t xml:space="preserve">Les émissions de poussières totales et de PM10 canalisées sont </t>
    </r>
    <r>
      <rPr>
        <u/>
        <sz val="12"/>
        <color theme="1"/>
        <rFont val="Arial"/>
        <family val="2"/>
      </rPr>
      <t>renseignées par l'utilisateur</t>
    </r>
    <r>
      <rPr>
        <sz val="12"/>
        <color theme="1"/>
        <rFont val="Arial"/>
        <family val="2"/>
      </rPr>
      <t xml:space="preserve"> dans l’outil Excel à partir des équations suivantes :</t>
    </r>
  </si>
  <si>
    <r>
      <t>Où :
• E</t>
    </r>
    <r>
      <rPr>
        <vertAlign val="subscript"/>
        <sz val="12"/>
        <color theme="1"/>
        <rFont val="Arial"/>
        <family val="2"/>
      </rPr>
      <t>TSP</t>
    </r>
    <r>
      <rPr>
        <sz val="12"/>
        <color theme="1"/>
        <rFont val="Arial"/>
        <family val="2"/>
      </rPr>
      <t xml:space="preserve"> et E</t>
    </r>
    <r>
      <rPr>
        <vertAlign val="subscript"/>
        <sz val="12"/>
        <color theme="1"/>
        <rFont val="Arial"/>
        <family val="2"/>
      </rPr>
      <t>PM10</t>
    </r>
    <r>
      <rPr>
        <sz val="12"/>
        <color theme="1"/>
        <rFont val="Arial"/>
        <family val="2"/>
      </rPr>
      <t xml:space="preserve"> sont respectivement les masses de TSP et PM10 émises (en kg),
</t>
    </r>
  </si>
  <si>
    <r>
      <t>• C</t>
    </r>
    <r>
      <rPr>
        <vertAlign val="subscript"/>
        <sz val="12"/>
        <color theme="1"/>
        <rFont val="Arial"/>
        <family val="2"/>
      </rPr>
      <t>TSP</t>
    </r>
    <r>
      <rPr>
        <sz val="12"/>
        <color theme="1"/>
        <rFont val="Arial"/>
        <family val="2"/>
      </rPr>
      <t xml:space="preserve"> et C</t>
    </r>
    <r>
      <rPr>
        <vertAlign val="subscript"/>
        <sz val="12"/>
        <color theme="1"/>
        <rFont val="Arial"/>
        <family val="2"/>
      </rPr>
      <t>PM10</t>
    </r>
    <r>
      <rPr>
        <sz val="12"/>
        <color theme="1"/>
        <rFont val="Arial"/>
        <family val="2"/>
      </rPr>
      <t xml:space="preserve"> sont respectivement les concentrations de TSP et PM10 mesurées (en mg/m</t>
    </r>
    <r>
      <rPr>
        <vertAlign val="superscript"/>
        <sz val="12"/>
        <color theme="1"/>
        <rFont val="Arial"/>
        <family val="2"/>
      </rPr>
      <t>3</t>
    </r>
    <r>
      <rPr>
        <sz val="12"/>
        <color theme="1"/>
        <rFont val="Arial"/>
        <family val="2"/>
      </rPr>
      <t>),</t>
    </r>
  </si>
  <si>
    <r>
      <t>• Débit</t>
    </r>
    <r>
      <rPr>
        <vertAlign val="subscript"/>
        <sz val="12"/>
        <color theme="1"/>
        <rFont val="Arial"/>
        <family val="2"/>
      </rPr>
      <t>air</t>
    </r>
    <r>
      <rPr>
        <sz val="12"/>
        <color theme="1"/>
        <rFont val="Arial"/>
        <family val="2"/>
      </rPr>
      <t xml:space="preserve"> est le débit mesuré des gaz (en Nm</t>
    </r>
    <r>
      <rPr>
        <vertAlign val="superscript"/>
        <sz val="12"/>
        <color theme="1"/>
        <rFont val="Arial"/>
        <family val="2"/>
      </rPr>
      <t>3</t>
    </r>
    <r>
      <rPr>
        <sz val="12"/>
        <color theme="1"/>
        <rFont val="Arial"/>
        <family val="2"/>
      </rPr>
      <t>/h),</t>
    </r>
  </si>
  <si>
    <t>• t est la durée de fonctionnement de l'installation mesurée (en nombre d'heures).</t>
  </si>
  <si>
    <t>Dans le cas où la concentration et le débit sont mesurés en continu ou de façon régulière, il est nécessaire de faire une moyenne des valeurs mesurées. L’équation devient alors :</t>
  </si>
  <si>
    <r>
      <t>• C</t>
    </r>
    <r>
      <rPr>
        <vertAlign val="subscript"/>
        <sz val="12"/>
        <color theme="1"/>
        <rFont val="Arial"/>
        <family val="2"/>
      </rPr>
      <t>TSPn</t>
    </r>
    <r>
      <rPr>
        <sz val="12"/>
        <color theme="1"/>
        <rFont val="Arial"/>
        <family val="2"/>
      </rPr>
      <t xml:space="preserve"> et C</t>
    </r>
    <r>
      <rPr>
        <vertAlign val="subscript"/>
        <sz val="12"/>
        <color theme="1"/>
        <rFont val="Arial"/>
        <family val="2"/>
      </rPr>
      <t>PM10n</t>
    </r>
    <r>
      <rPr>
        <sz val="12"/>
        <color theme="1"/>
        <rFont val="Arial"/>
        <family val="2"/>
      </rPr>
      <t xml:space="preserve"> sont respectivement les concentrations de TSP et PM10 mesurées lors de la mesure n (en mg/m</t>
    </r>
    <r>
      <rPr>
        <vertAlign val="superscript"/>
        <sz val="12"/>
        <color theme="1"/>
        <rFont val="Arial"/>
        <family val="2"/>
      </rPr>
      <t>3</t>
    </r>
    <r>
      <rPr>
        <sz val="12"/>
        <color theme="1"/>
        <rFont val="Arial"/>
        <family val="2"/>
      </rPr>
      <t>),</t>
    </r>
  </si>
  <si>
    <r>
      <t>• Débit</t>
    </r>
    <r>
      <rPr>
        <vertAlign val="subscript"/>
        <sz val="12"/>
        <color theme="1"/>
        <rFont val="Arial"/>
        <family val="2"/>
      </rPr>
      <t>n</t>
    </r>
    <r>
      <rPr>
        <sz val="12"/>
        <color theme="1"/>
        <rFont val="Arial"/>
        <family val="2"/>
      </rPr>
      <t xml:space="preserve"> est le débit des gazmesuré lors de la mesure n (en Nm</t>
    </r>
    <r>
      <rPr>
        <vertAlign val="superscript"/>
        <sz val="12"/>
        <color theme="1"/>
        <rFont val="Arial"/>
        <family val="2"/>
      </rPr>
      <t>3</t>
    </r>
    <r>
      <rPr>
        <sz val="12"/>
        <color theme="1"/>
        <rFont val="Arial"/>
        <family val="2"/>
      </rPr>
      <t>/h),</t>
    </r>
  </si>
  <si>
    <t>Présence bardage</t>
  </si>
  <si>
    <t>inefficace (association d'un filtre avec une enceinte non fermée)</t>
  </si>
  <si>
    <t>Taux d'humidité du matériau stocké et partiellement protégé</t>
  </si>
  <si>
    <t>Taux d'humidité du matériau stocké et non protégé</t>
  </si>
  <si>
    <t>STOCKAGE PARTIELLEMENT PROTEGE</t>
  </si>
  <si>
    <t>STOCKAGE NON PROTEGE</t>
  </si>
  <si>
    <t>Résultats  stocks  partiellement protégés</t>
  </si>
  <si>
    <t>Résultats stocks non protégés</t>
  </si>
  <si>
    <t>Résultats tous stocks confondus</t>
  </si>
  <si>
    <t>Plus de 2 arrosages / jour</t>
  </si>
  <si>
    <t>Pas d'arrosage des pistes</t>
  </si>
  <si>
    <t>Entre 1 et 2 arrosages / jour</t>
  </si>
  <si>
    <t>Arrosage automatique</t>
  </si>
  <si>
    <t>Agence de l'environnement canadienne</t>
  </si>
  <si>
    <t>Dires d'experts profession</t>
  </si>
  <si>
    <t>Sources</t>
  </si>
  <si>
    <r>
      <t xml:space="preserve">EMISSIONS CANALISEES </t>
    </r>
    <r>
      <rPr>
        <b/>
        <u/>
        <sz val="12"/>
        <color theme="1"/>
        <rFont val="Arial"/>
        <family val="2"/>
      </rPr>
      <t>MESUREES</t>
    </r>
  </si>
  <si>
    <r>
      <t xml:space="preserve">EMISSIONS DIFFUSES et CANALISEES </t>
    </r>
    <r>
      <rPr>
        <b/>
        <u/>
        <sz val="12"/>
        <color theme="1"/>
        <rFont val="Arial"/>
        <family val="2"/>
      </rPr>
      <t>NON MESUREES</t>
    </r>
  </si>
  <si>
    <t>Le site réalise-t-il des mesures pour son (ses) système(s) de captage et de canalisation des émissions de poussières?</t>
  </si>
  <si>
    <t>TSP : Emissions canalisées annuelles (calcul issu de(s) mesure(s))</t>
  </si>
  <si>
    <t>PM10 : Emissions canalisées annuelles (calcul issu de(s) mesure(s))</t>
  </si>
  <si>
    <t>Nombre de concasseur primaire (hors concasseur dont les émissions canalisées sont mesurées)</t>
  </si>
  <si>
    <t>Nombre de concasseur secondaire (hors concasseur dont les émissions canalisées sont mesurées)</t>
  </si>
  <si>
    <t>Nombre de concasseur tertiaire (hors concasseur dont les émissions canalisées sont mesurées)</t>
  </si>
  <si>
    <t>Nombre de crible primaire (hors scalpeur) (hors crible dont les émissions canalisées sont mesurées)</t>
  </si>
  <si>
    <t>Nombre de crible secondaire (hors scalpeur) (hors crible dont les émissions canalisées sont mesurées)</t>
  </si>
  <si>
    <t>Nombre de crible tertiaire (hors scalpeur) (hors crible dont les émissions canalisées sont mesurées)</t>
  </si>
  <si>
    <t>OUI, eau simple</t>
  </si>
  <si>
    <t>OUI, partiel</t>
  </si>
  <si>
    <t>OUI, total</t>
  </si>
  <si>
    <t>OUI, eau + additif (surfactant, air, etc.)</t>
  </si>
  <si>
    <t>OUI (filtre à manche, électrofiltre, etc.)</t>
  </si>
  <si>
    <t>Pulvérisation d'eau simple</t>
  </si>
  <si>
    <t>Pulvérisation d'eau + additif</t>
  </si>
  <si>
    <t>Enceinte partielle</t>
  </si>
  <si>
    <t>Bardage total</t>
  </si>
  <si>
    <t>Filtre</t>
  </si>
  <si>
    <t>Définition des pourcentages d'abattement pour les installations de traitement</t>
  </si>
  <si>
    <t>1) Concassage</t>
  </si>
  <si>
    <t>Techniques de contrôle des émissions du concassage et facteur d'abattement associé (sources : TCEQ et MDAQMD)</t>
  </si>
  <si>
    <t>Technique</t>
  </si>
  <si>
    <t>facteur abattement A</t>
  </si>
  <si>
    <t>Aucune</t>
  </si>
  <si>
    <t>Pulvérisation eau simple</t>
  </si>
  <si>
    <t>TCEQ (Texas Commission on Environmental Quality)</t>
  </si>
  <si>
    <t>Pulvérisation eau + additif</t>
  </si>
  <si>
    <t>MDAQMD (Mojave Desert Air Quality Management District) "60% &lt; couverture &lt; 85%" - convoyeurs assimilés aux installations de concassage</t>
  </si>
  <si>
    <t>Enceinte complète</t>
  </si>
  <si>
    <t>MDAQMD (Mojave Desert Air Quality Management District) "couverture complète" - convoyeurs assimilés aux installations de concassage</t>
  </si>
  <si>
    <t>Dépoussièrage par filtre</t>
  </si>
  <si>
    <t>Il y a 18 combinaisons possibles (rangées par facteur de réduction)</t>
  </si>
  <si>
    <t>Le facteur d'abattement total est calculé comme suit :</t>
  </si>
  <si>
    <t>= (1-(1-A_pulvérisation)*(1-A_bardage)(1-A_traitement))*100</t>
  </si>
  <si>
    <t>Facteur d'abattement total (%)</t>
  </si>
  <si>
    <t>Vos moyens d'abattements sont incompatibles (pulvérisation + filtre en dépression)</t>
  </si>
  <si>
    <t>2) Criblage</t>
  </si>
  <si>
    <t>Techniques de contrôle des émissions du criblage et facteur d'abattement associé (sources : TCEQ et MDAQMD)</t>
  </si>
  <si>
    <t>Tamis couvert</t>
  </si>
  <si>
    <t>Couvert + pulvérisation eau simple</t>
  </si>
  <si>
    <t>On suppose que c'est aussi le facteur d'abattement pour un tamis non couvert (faute d'informations)</t>
  </si>
  <si>
    <t>Couvert + pulvérisation eau et surfactant</t>
  </si>
  <si>
    <t>Couvert + Dépoussièrage par filtre</t>
  </si>
  <si>
    <t>Il y a 12 combinaisons possibles (rangées par facteur de réduction)</t>
  </si>
  <si>
    <t>= (1-(1-A_pulvérisation)*(1-A_bardage)*(1-A_traitement))*100</t>
  </si>
  <si>
    <t>facteur d'abattement total (%)</t>
  </si>
  <si>
    <t>Si la foreuse n'est pas équipée de système de dépoussièrage, les FE sont multiplié par 10 (réunion du 23/11/2016 avec UNICEM)</t>
  </si>
  <si>
    <t>Foreuse non équipée d'un dépoussiéreur</t>
  </si>
  <si>
    <t>Hypothèse issue du travail effectué par le CITEPA avec l'UNICEM</t>
  </si>
  <si>
    <t>Abattement lié à la protection partielle des stocks</t>
  </si>
  <si>
    <t>Fiches méthodologiques n°4 et 5 - Gestion des stocks (chargement/déchargement) et érosion des stocks (à l'air libre)</t>
  </si>
  <si>
    <t>La foreuse est-elle équipée d'un système de dépoussièrage ?</t>
  </si>
  <si>
    <t>Emissions (t) avec abattement</t>
  </si>
  <si>
    <t>Emissions (t) sans abattement</t>
  </si>
  <si>
    <t>Les émissions de poussières totales et de PM10 sont calculées dans l’outil Excel à partir des équations suivantes si la foreuse est équipée de d'un système de dépoussiérage :</t>
  </si>
  <si>
    <t>Les émissions de poussières totales et de PM10 sont calculées dans l’outil Excel à partir des équations suivantes si la foreuse n'est pas équipée d'un système de dépoussiérage :</t>
  </si>
  <si>
    <t>GESTION DES STOCKS EXTERIEURS et EROSION (hors trémies, silos et autres enceintes fermées) incluant la manutention du chargement vente</t>
  </si>
  <si>
    <r>
      <rPr>
        <b/>
        <u/>
        <sz val="12"/>
        <color theme="1"/>
        <rFont val="Arial"/>
        <family val="2"/>
      </rPr>
      <t>Stocks partiellement protégés</t>
    </r>
    <r>
      <rPr>
        <sz val="12"/>
        <color theme="1"/>
        <rFont val="Arial"/>
        <family val="2"/>
      </rPr>
      <t xml:space="preserve"> (semi-couverts, bardages partiels, filets coupe-vent, etc.)
Stock annuel moyen à l'air libre selon la part de fine dans le stock (&lt;63µm) - produit fini</t>
    </r>
  </si>
  <si>
    <r>
      <rPr>
        <b/>
        <u/>
        <sz val="12"/>
        <color theme="1"/>
        <rFont val="Arial"/>
        <family val="2"/>
      </rPr>
      <t>Stocks extérieurs non protégés</t>
    </r>
    <r>
      <rPr>
        <sz val="12"/>
        <color theme="1"/>
        <rFont val="Arial"/>
        <family val="2"/>
      </rPr>
      <t xml:space="preserve">
Stock annuel moyen à l'air libre selon la part de fine dans le stock (&lt;63µm) - produit fini</t>
    </r>
  </si>
  <si>
    <r>
      <rPr>
        <b/>
        <i/>
        <u/>
        <sz val="12"/>
        <color theme="1"/>
        <rFont val="Arial"/>
        <family val="2"/>
      </rPr>
      <t>Références bibliographiques</t>
    </r>
    <r>
      <rPr>
        <b/>
        <i/>
        <sz val="12"/>
        <color theme="1"/>
        <rFont val="Arial"/>
        <family val="2"/>
      </rPr>
      <t xml:space="preserve"> : US-EPA, AP-42, 5</t>
    </r>
    <r>
      <rPr>
        <b/>
        <i/>
        <vertAlign val="superscript"/>
        <sz val="12"/>
        <color theme="1"/>
        <rFont val="Arial"/>
        <family val="2"/>
      </rPr>
      <t>ème</t>
    </r>
    <r>
      <rPr>
        <b/>
        <i/>
        <sz val="12"/>
        <color theme="1"/>
        <rFont val="Arial"/>
        <family val="2"/>
      </rPr>
      <t xml:space="preserve"> édition recueil de facteurs d’émission de polluants atmosphériques – Volume 1, chapitre 11 Mineral Products Industry.
MDAQMD (Mojave Desert Air Quality Management District) - Antelope Valley Air Pollution Control District, Emissions Inventory Guidance, Mineral Handling and Processing Industries</t>
    </r>
  </si>
  <si>
    <t>Criblage sous eau</t>
  </si>
  <si>
    <t>OK</t>
  </si>
  <si>
    <t>Vos moyens d'abattements sont incompatibles (criblage sous eau + autre technique d'abatement)</t>
  </si>
  <si>
    <t>Commentaire de vérification</t>
  </si>
  <si>
    <t>part de fines sur le sol (%)</t>
  </si>
  <si>
    <t>Jamais</t>
  </si>
  <si>
    <t>Pistes non-revêtues</t>
  </si>
  <si>
    <t>arrosage pistes non-revêtues</t>
  </si>
  <si>
    <t>taux d'abattement (pistes non-revêtues)</t>
  </si>
  <si>
    <t>production stockée annuellement (t)</t>
  </si>
  <si>
    <t>production stockée annuellement (%)</t>
  </si>
  <si>
    <t>6.0</t>
  </si>
  <si>
    <t>Type de matériaux en fonction de la part de fines contenue dans le stock</t>
  </si>
  <si>
    <t>Moins d'une fois par semaine</t>
  </si>
  <si>
    <t>Plus d'une fois par semaine</t>
  </si>
  <si>
    <t>Fréquence de nettoyage par "aspiration et balayage humide" des pistes revêtues (approche gisement)</t>
  </si>
  <si>
    <t>Fréquence de nettoyage par "aspiration et balayage humide" des pistes revêtues (approche sortie)</t>
  </si>
  <si>
    <t>Proportion des pistes revêtues nettoyées par "aspiration et balayage humide" (approche sortie)</t>
  </si>
  <si>
    <t>Proportion des pistes revêtues nettoyées par "aspiration et balayage humide" (approche gisement)</t>
  </si>
  <si>
    <t>Fréquence de nettoyage</t>
  </si>
  <si>
    <t>Provient de la norme VDI 3790 allemande (Part 4)</t>
  </si>
  <si>
    <t>Facteur d'abattement de la pluie sur route non-revêtue (%)</t>
  </si>
  <si>
    <t>Facteur d'abattement de la pluie sur route revêtue (%)</t>
  </si>
  <si>
    <t>Par de fine en surface sur route revêtue non-nettoyée (g/m2)</t>
  </si>
  <si>
    <t>Nettoyage pistes revêtues (%)</t>
  </si>
  <si>
    <t>Routes revetues (sans nettoyage)</t>
  </si>
  <si>
    <t>Routes revetues (avec nettoyage)</t>
  </si>
  <si>
    <t>Emissions (t) - Pistes revêtues sans nettoyage</t>
  </si>
  <si>
    <t>VDI 3790 Part 4</t>
  </si>
  <si>
    <t>Roche meuble</t>
  </si>
  <si>
    <t>Roche massive</t>
  </si>
  <si>
    <t>Autre</t>
  </si>
  <si>
    <t>Type de roche</t>
  </si>
  <si>
    <t>Niveau</t>
  </si>
  <si>
    <t>Angle de repos (°)</t>
  </si>
  <si>
    <t>Nombre de piles de stockage</t>
  </si>
  <si>
    <t>Nombre de piles de stockage protégées, en moyenne (par défault une valeur de 1 est considérée)</t>
  </si>
  <si>
    <t>Nombre de piles de stockage non-protégées, en moyenne (par défault une valeur de 1 est considérée)</t>
  </si>
  <si>
    <t>Rayon des piles (m)</t>
  </si>
  <si>
    <t>Hauteur des piles (m)</t>
  </si>
  <si>
    <t>Stocks extérieurs non protégés</t>
  </si>
  <si>
    <t>Stocks partiellement protégés</t>
  </si>
  <si>
    <t>Vérification de la cohérence des valeurs indiquées pour le stockage</t>
  </si>
  <si>
    <t>Routes 
non revetues (avec arrosage)</t>
  </si>
  <si>
    <t>Routes 
non revetues (sans arrosage)</t>
  </si>
  <si>
    <t>Avec :</t>
  </si>
  <si>
    <t>Quel type de roche ?</t>
  </si>
  <si>
    <t>Poudre noire</t>
  </si>
  <si>
    <t>Dynamite de gélatine</t>
  </si>
  <si>
    <t>ANFO (ammonium nitrate/fuel oil )</t>
  </si>
  <si>
    <t>Tableau 2 en lien avec la consommation annuelle de gazole</t>
  </si>
  <si>
    <r>
      <t>Consommation annuelle de gazole (m</t>
    </r>
    <r>
      <rPr>
        <b/>
        <vertAlign val="superscript"/>
        <sz val="12"/>
        <color theme="1"/>
        <rFont val="Arial"/>
        <family val="2"/>
      </rPr>
      <t>3</t>
    </r>
    <r>
      <rPr>
        <b/>
        <sz val="12"/>
        <color theme="1"/>
        <rFont val="Arial"/>
        <family val="2"/>
      </rPr>
      <t>)</t>
    </r>
  </si>
  <si>
    <t>Consommation annuelle d'explosif (kg)</t>
  </si>
  <si>
    <t>Consommation annuelle d'explosif (t)</t>
  </si>
  <si>
    <t>Type d'explosif :</t>
  </si>
  <si>
    <t>H2S</t>
  </si>
  <si>
    <t>Dynamite au nitrate d'ammonium</t>
  </si>
  <si>
    <t>CO2</t>
  </si>
  <si>
    <r>
      <t>CH</t>
    </r>
    <r>
      <rPr>
        <b/>
        <vertAlign val="subscript"/>
        <sz val="12"/>
        <rFont val="Arial"/>
        <family val="2"/>
      </rPr>
      <t>4</t>
    </r>
  </si>
  <si>
    <r>
      <t>CO</t>
    </r>
    <r>
      <rPr>
        <b/>
        <vertAlign val="subscript"/>
        <sz val="12"/>
        <rFont val="Arial"/>
        <family val="2"/>
      </rPr>
      <t>2</t>
    </r>
  </si>
  <si>
    <r>
      <t>NO</t>
    </r>
    <r>
      <rPr>
        <b/>
        <vertAlign val="subscript"/>
        <sz val="12"/>
        <rFont val="Arial"/>
        <family val="2"/>
      </rPr>
      <t>x</t>
    </r>
  </si>
  <si>
    <r>
      <t>SO</t>
    </r>
    <r>
      <rPr>
        <b/>
        <vertAlign val="subscript"/>
        <sz val="12"/>
        <rFont val="Arial"/>
        <family val="2"/>
      </rPr>
      <t>2</t>
    </r>
  </si>
  <si>
    <t>Tableau 1 récapitulatif pour les substances émises autres que les poussières</t>
  </si>
  <si>
    <t>Tableau 3 en lien avec la consommation annuelle d'explosifs</t>
  </si>
  <si>
    <r>
      <t xml:space="preserve">Où :
• nb est le nombre de piles de stockage (1 par défaut)
• r est le rayon des piles de stockage (m)
• </t>
    </r>
    <r>
      <rPr>
        <sz val="12"/>
        <rFont val="Calibri"/>
        <family val="2"/>
      </rPr>
      <t xml:space="preserve">θ </t>
    </r>
    <r>
      <rPr>
        <sz val="12"/>
        <rFont val="Arial"/>
        <family val="2"/>
      </rPr>
      <t>est l'angle de repos des matériaux stockés (30°)
• Q</t>
    </r>
    <r>
      <rPr>
        <vertAlign val="subscript"/>
        <sz val="12"/>
        <rFont val="Arial"/>
        <family val="2"/>
      </rPr>
      <t>s</t>
    </r>
    <r>
      <rPr>
        <sz val="12"/>
        <rFont val="Arial"/>
        <family val="2"/>
      </rPr>
      <t xml:space="preserve"> est la quantité de matériaux stockés (tonne)
• ρ est la masse volumique du matériaux stocké (tonne/m</t>
    </r>
    <r>
      <rPr>
        <vertAlign val="superscript"/>
        <sz val="12"/>
        <rFont val="Arial"/>
        <family val="2"/>
      </rPr>
      <t>3</t>
    </r>
    <r>
      <rPr>
        <sz val="12"/>
        <rFont val="Arial"/>
        <family val="2"/>
      </rPr>
      <t>)</t>
    </r>
  </si>
  <si>
    <t>Où :
• ETSP et EPM10 sont respectivement les masses de TSP et PM10 émises (en kg),
• P est le nombre de jours de pluie au cours de l’année,
• I est le pourcentage de jour où la vitesse du vent a été supérieure à 19,3 km/h,
• s est la teneur moyenne en fine de la pile de stockage (en %),
• R est le rayon de la pile de stockage (en m),
• H est la hauteur de la pile de stockage (en m),
• A est l’aire de la surface exposée de la pile (en m2),
• ER est le facteur d’abattement (50 %) appliqué lorsque les stocks sont partiellement protégés.</t>
  </si>
  <si>
    <t>Production stockée</t>
  </si>
  <si>
    <r>
      <t>Référence bibliographique : 
US-EPA, AP-42, 5</t>
    </r>
    <r>
      <rPr>
        <b/>
        <i/>
        <vertAlign val="superscript"/>
        <sz val="12"/>
        <color theme="1"/>
        <rFont val="Arial"/>
        <family val="2"/>
      </rPr>
      <t>ème</t>
    </r>
    <r>
      <rPr>
        <b/>
        <i/>
        <sz val="12"/>
        <color theme="1"/>
        <rFont val="Arial"/>
        <family val="2"/>
      </rPr>
      <t xml:space="preserve"> édition recueil de facteurs d’émission de polluants atmosphériques – Volume 1, chapitre 13 Miscellaneous Sources / (Unpaved roads - routes non revêtues)
US-EPA, AP-42, 5</t>
    </r>
    <r>
      <rPr>
        <b/>
        <i/>
        <vertAlign val="superscript"/>
        <sz val="12"/>
        <color theme="1"/>
        <rFont val="Arial"/>
        <family val="2"/>
      </rPr>
      <t>ème</t>
    </r>
    <r>
      <rPr>
        <b/>
        <i/>
        <sz val="12"/>
        <color theme="1"/>
        <rFont val="Arial"/>
        <family val="2"/>
      </rPr>
      <t xml:space="preserve"> édition recueil de facteurs d’émission de polluants atmosphériques – Volume 1, chapitre 13 Miscellaneous Sources / (Paved roads - routes revêtues)
Compléments d'informations par la profession (dires d'experts)</t>
    </r>
  </si>
  <si>
    <t xml:space="preserve">Où :
• ETSP et EPM10 sont respectivement les masses de TSP et PM10 émises (en kg)
• U est la vitesse moyenne du vent (en m/s)
• M est la teneur en humidité du matériau (en %), par défaut roche meuble 6% et autre 2%
• Q matériau manipulé est la quantité de matériau manipulé (en t), il est considéré que chaque pile est manipulée à deux reprises.
</t>
  </si>
  <si>
    <r>
      <t>Où :
• E</t>
    </r>
    <r>
      <rPr>
        <vertAlign val="subscript"/>
        <sz val="12"/>
        <color theme="1"/>
        <rFont val="Arial"/>
        <family val="2"/>
      </rPr>
      <t>TSP</t>
    </r>
    <r>
      <rPr>
        <sz val="12"/>
        <color theme="1"/>
        <rFont val="Arial"/>
        <family val="2"/>
      </rPr>
      <t> et E</t>
    </r>
    <r>
      <rPr>
        <vertAlign val="subscript"/>
        <sz val="12"/>
        <color theme="1"/>
        <rFont val="Arial"/>
        <family val="2"/>
      </rPr>
      <t>PM10</t>
    </r>
    <r>
      <rPr>
        <sz val="12"/>
        <color theme="1"/>
        <rFont val="Arial"/>
        <family val="2"/>
      </rPr>
      <t xml:space="preserve"> sont respectivement les masses de TSP et PM</t>
    </r>
    <r>
      <rPr>
        <vertAlign val="subscript"/>
        <sz val="12"/>
        <color theme="1"/>
        <rFont val="Arial"/>
        <family val="2"/>
      </rPr>
      <t>10</t>
    </r>
    <r>
      <rPr>
        <sz val="12"/>
        <color theme="1"/>
        <rFont val="Arial"/>
        <family val="2"/>
      </rPr>
      <t xml:space="preserve"> émises (en kg) ;
• N</t>
    </r>
    <r>
      <rPr>
        <vertAlign val="subscript"/>
        <sz val="12"/>
        <color theme="1"/>
        <rFont val="Arial"/>
        <family val="2"/>
      </rPr>
      <t>trou</t>
    </r>
    <r>
      <rPr>
        <sz val="12"/>
        <color theme="1"/>
        <rFont val="Arial"/>
        <family val="2"/>
      </rPr>
      <t xml:space="preserve"> est le nombre annuel de trous forés ;
• S est la surface minée moyenne (en m²) ;
• N</t>
    </r>
    <r>
      <rPr>
        <vertAlign val="subscript"/>
        <sz val="12"/>
        <color theme="1"/>
        <rFont val="Arial"/>
        <family val="2"/>
      </rPr>
      <t>tir</t>
    </r>
    <r>
      <rPr>
        <sz val="12"/>
        <color theme="1"/>
        <rFont val="Arial"/>
        <family val="2"/>
      </rPr>
      <t xml:space="preserve"> est le nombre annuel de tirs.</t>
    </r>
  </si>
  <si>
    <t>Consommation de poudre noire (t)</t>
  </si>
  <si>
    <t>Consommation d'ANFO (ammonium nitrate/fuel oil) (t)</t>
  </si>
  <si>
    <t>Quel type d'activité ? Se rapprocher du type d'exploitation qui vous correspond
Possibilité d'adaptation en cochant ou décochant les croix cases C13 à C17</t>
  </si>
  <si>
    <t>Indicateur de production</t>
  </si>
  <si>
    <t>Par de fine en surface sur route revêtue de la carrière (g/m2)</t>
  </si>
  <si>
    <t>Provient de l'US-EPA - 13.2.1 - Paved Roads</t>
  </si>
  <si>
    <t>Consommation d'explosifs</t>
  </si>
  <si>
    <t>Grammes d'explosif par tonne extraite</t>
  </si>
  <si>
    <r>
      <t>Consommation annuelle de gazole (GNR) (m</t>
    </r>
    <r>
      <rPr>
        <b/>
        <vertAlign val="superscript"/>
        <sz val="12"/>
        <rFont val="Arial"/>
        <family val="2"/>
      </rPr>
      <t>3</t>
    </r>
    <r>
      <rPr>
        <b/>
        <sz val="12"/>
        <rFont val="Arial"/>
        <family val="2"/>
      </rPr>
      <t>)</t>
    </r>
  </si>
  <si>
    <t>Litres de gazole (GNR) par tonne de production traitée</t>
  </si>
  <si>
    <t>Emissions (kg/an)</t>
  </si>
  <si>
    <t>Part de fine en surface (g/m2)</t>
  </si>
  <si>
    <t>Consommation de dynamite (t)</t>
  </si>
  <si>
    <t>Consommation d'émuslion (t)</t>
  </si>
  <si>
    <t>Émuslion (dynamite de gélatine)</t>
  </si>
  <si>
    <r>
      <t>Où :
• E</t>
    </r>
    <r>
      <rPr>
        <vertAlign val="subscript"/>
        <sz val="12"/>
        <rFont val="Arial"/>
        <family val="2"/>
      </rPr>
      <t>TSP</t>
    </r>
    <r>
      <rPr>
        <sz val="12"/>
        <rFont val="Arial"/>
        <family val="2"/>
      </rPr>
      <t xml:space="preserve"> et E</t>
    </r>
    <r>
      <rPr>
        <vertAlign val="subscript"/>
        <sz val="12"/>
        <rFont val="Arial"/>
        <family val="2"/>
      </rPr>
      <t>PM10</t>
    </r>
    <r>
      <rPr>
        <sz val="12"/>
        <rFont val="Arial"/>
        <family val="2"/>
      </rPr>
      <t xml:space="preserve"> sont respectivement les masses de TSP et PM10 émises (en kg),
• d non revêtue est la distance totale parcourue par les véhicules durant l’année sur des routes non revêtues (km),
• d revêtue est la distance totale parcourue par les véhicules durant l’année sur des routes revêtues (km),
• P véhicule est le poids moyen d’un véhicule (en t),
• s est la teneur en fines du matériau de surface (en %), par défaut cette valeur est de 6,5%,
• ER est le facteur d’abattement pour les pistes non revêtues (en %) variant selon la technique de réduction mise en œuvre 
• p est le nombre de jours de pluie ou de neige dans l'année 
• sL est la teneur en fines sur les pistes revêtues exprimée en g par m². Cette teneur varie avec les technique d'abattement mise en oeuvre (de 1 à 60).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</si>
</sst>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 _€_-;\-* #,##0.00\ _€_-;_-* &quot;-&quot;??\ _€_-;_-@_-"/>
    <numFmt numFmtId="165" formatCode="0.0E+00"/>
    <numFmt numFmtId="166" formatCode="_-* #,##0\ _€_-;\-* #,##0\ _€_-;_-* &quot;-&quot;??\ _€_-;_-@_-"/>
    <numFmt numFmtId="167" formatCode="_(* #,##0_);_(* \(#,##0\);_(* &quot;-&quot;_);_(@_)"/>
    <numFmt numFmtId="168" formatCode="_(&quot;$&quot;* #,##0_);_(&quot;$&quot;* \(#,##0\);_(&quot;$&quot;* &quot;-&quot;_);_(@_)"/>
    <numFmt numFmtId="169" formatCode="_-* #,##0.00\ [$€]_-;\-* #,##0.00\ [$€]_-;_-* &quot;-&quot;??\ [$€]_-;_-@_-"/>
    <numFmt numFmtId="170" formatCode="_-* #,##0.00\ _F_-;\-* #,##0.00\ _F_-;_-* &quot;-&quot;??\ _F_-;_-@_-"/>
    <numFmt numFmtId="171" formatCode="_-* #,##0.00\ &quot;F&quot;_-;\-* #,##0.00\ &quot;F&quot;_-;_-* &quot;-&quot;??\ &quot;F&quot;_-;_-@_-"/>
    <numFmt numFmtId="172" formatCode="\$#,##0\ ;\(\$#,##0\)"/>
    <numFmt numFmtId="173" formatCode="#,##0.0000"/>
    <numFmt numFmtId="174" formatCode="_-* #,##0.000\ _€_-;\-* #,##0.000\ _€_-;_-* &quot;-&quot;??\ _€_-;_-@_-"/>
    <numFmt numFmtId="175" formatCode="#,##0.0"/>
    <numFmt numFmtId="176" formatCode="0.0000"/>
    <numFmt numFmtId="177" formatCode="#,##0_ ;\-#,##0\ "/>
    <numFmt numFmtId="178" formatCode="0.00000"/>
    <numFmt numFmtId="179" formatCode="0.0"/>
    <numFmt numFmtId="180" formatCode="0.000"/>
    <numFmt numFmtId="181" formatCode="_-* #,##0.0\ _€_-;\-* #,##0.0\ _€_-;_-* &quot;-&quot;??\ _€_-;_-@_-"/>
    <numFmt numFmtId="182" formatCode="_-* #,##0.0000\ _€_-;\-* #,##0.0000\ _€_-;_-* &quot;-&quot;??\ _€_-;_-@_-"/>
    <numFmt numFmtId="183" formatCode="0.0%"/>
    <numFmt numFmtId="184" formatCode="_-* #,##0.00000\ _€_-;\-* #,##0.00000\ _€_-;_-* &quot;-&quot;??\ _€_-;_-@_-"/>
    <numFmt numFmtId="185" formatCode="_-* #,##0.00000\ _€_-;\-* #,##0.00000\ _€_-;_-* &quot;-&quot;?????\ _€_-;_-@_-"/>
    <numFmt numFmtId="186" formatCode="_-* #,##0.000\ _€_-;\-* #,##0.000\ _€_-;_-* &quot;-&quot;???\ _€_-;_-@_-"/>
    <numFmt numFmtId="187" formatCode="#,##0.000"/>
  </numFmts>
  <fonts count="117" x14ac:knownFonts="1">
    <font>
      <sz val="11"/>
      <color theme="1"/>
      <name val="Calibri"/>
      <family val="2"/>
      <scheme val="minor"/>
    </font>
    <font>
      <sz val="11"/>
      <color theme="1"/>
      <name val="Calibri"/>
      <family val="2"/>
      <scheme val="minor"/>
    </font>
    <font>
      <sz val="10"/>
      <color theme="1"/>
      <name val="Arial"/>
      <family val="2"/>
    </font>
    <font>
      <sz val="11"/>
      <color indexed="8"/>
      <name val="Calibri"/>
      <family val="2"/>
    </font>
    <font>
      <b/>
      <sz val="10"/>
      <color theme="1"/>
      <name val="Arial"/>
      <family val="2"/>
    </font>
    <font>
      <sz val="9"/>
      <name val="Times New Roman"/>
      <family val="1"/>
    </font>
    <font>
      <sz val="11"/>
      <color indexed="9"/>
      <name val="Calibri"/>
      <family val="2"/>
    </font>
    <font>
      <sz val="11"/>
      <color indexed="10"/>
      <name val="Calibri"/>
      <family val="2"/>
    </font>
    <font>
      <b/>
      <sz val="9"/>
      <name val="Times New Roman"/>
      <family val="1"/>
    </font>
    <font>
      <b/>
      <sz val="11"/>
      <color indexed="10"/>
      <name val="Calibri"/>
      <family val="2"/>
    </font>
    <font>
      <sz val="10"/>
      <name val="Arial"/>
      <family val="2"/>
    </font>
    <font>
      <sz val="12"/>
      <color indexed="24"/>
      <name val="Arial"/>
      <family val="2"/>
    </font>
    <font>
      <sz val="18"/>
      <color indexed="24"/>
      <name val="Arial"/>
      <family val="2"/>
    </font>
    <font>
      <sz val="8"/>
      <color indexed="24"/>
      <name val="Arial"/>
      <family val="2"/>
    </font>
    <font>
      <b/>
      <sz val="18"/>
      <color indexed="24"/>
      <name val="Arial"/>
      <family val="2"/>
    </font>
    <font>
      <b/>
      <sz val="12"/>
      <color indexed="24"/>
      <name val="Arial"/>
      <family val="2"/>
    </font>
    <font>
      <sz val="11"/>
      <color indexed="62"/>
      <name val="Calibri"/>
      <family val="2"/>
    </font>
    <font>
      <sz val="9"/>
      <name val="Arial"/>
      <family val="2"/>
    </font>
    <font>
      <b/>
      <sz val="12"/>
      <name val="Times New Roman"/>
      <family val="1"/>
    </font>
    <font>
      <sz val="11"/>
      <color indexed="20"/>
      <name val="Calibri"/>
      <family val="2"/>
    </font>
    <font>
      <u/>
      <sz val="9"/>
      <color indexed="12"/>
      <name val="Arial"/>
      <family val="2"/>
    </font>
    <font>
      <u/>
      <sz val="10"/>
      <color indexed="12"/>
      <name val="Arial"/>
      <family val="2"/>
    </font>
    <font>
      <u/>
      <sz val="6"/>
      <color indexed="12"/>
      <name val="Arial"/>
      <family val="2"/>
    </font>
    <font>
      <sz val="11"/>
      <color indexed="19"/>
      <name val="Calibri"/>
      <family val="2"/>
    </font>
    <font>
      <sz val="8"/>
      <name val="Helvetica"/>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1"/>
      <color theme="1"/>
      <name val="Arial"/>
      <family val="2"/>
    </font>
    <font>
      <b/>
      <sz val="12"/>
      <color theme="1"/>
      <name val="Arial"/>
      <family val="2"/>
    </font>
    <font>
      <b/>
      <sz val="14"/>
      <color theme="1"/>
      <name val="Arial"/>
      <family val="2"/>
    </font>
    <font>
      <sz val="8"/>
      <color theme="1"/>
      <name val="Arial"/>
      <family val="2"/>
    </font>
    <font>
      <b/>
      <sz val="11"/>
      <color rgb="FFFF0000"/>
      <name val="Arial"/>
      <family val="2"/>
    </font>
    <font>
      <sz val="11"/>
      <color theme="1"/>
      <name val="Arial"/>
      <family val="2"/>
    </font>
    <font>
      <b/>
      <sz val="11"/>
      <color theme="0"/>
      <name val="Arial"/>
      <family val="2"/>
    </font>
    <font>
      <sz val="12"/>
      <color theme="1"/>
      <name val="Arial"/>
      <family val="2"/>
    </font>
    <font>
      <vertAlign val="superscript"/>
      <sz val="12"/>
      <color theme="1"/>
      <name val="Arial"/>
      <family val="2"/>
    </font>
    <font>
      <b/>
      <sz val="12"/>
      <color rgb="FFFF0000"/>
      <name val="Arial"/>
      <family val="2"/>
    </font>
    <font>
      <b/>
      <u/>
      <sz val="12"/>
      <color rgb="FFFF0000"/>
      <name val="Arial"/>
      <family val="2"/>
    </font>
    <font>
      <b/>
      <sz val="20"/>
      <color theme="1"/>
      <name val="Arial"/>
      <family val="2"/>
    </font>
    <font>
      <b/>
      <sz val="11"/>
      <color theme="0"/>
      <name val="Calibri"/>
      <family val="2"/>
      <scheme val="minor"/>
    </font>
    <font>
      <b/>
      <sz val="11"/>
      <color theme="1"/>
      <name val="Calibri"/>
      <family val="2"/>
      <scheme val="minor"/>
    </font>
    <font>
      <sz val="11"/>
      <color theme="0"/>
      <name val="Calibri"/>
      <family val="2"/>
      <scheme val="minor"/>
    </font>
    <font>
      <b/>
      <i/>
      <sz val="11"/>
      <color theme="1"/>
      <name val="Arial"/>
      <family val="2"/>
    </font>
    <font>
      <sz val="11"/>
      <name val="Calibri"/>
      <family val="2"/>
      <scheme val="minor"/>
    </font>
    <font>
      <sz val="8"/>
      <color theme="1"/>
      <name val="Calibri"/>
      <family val="2"/>
      <scheme val="minor"/>
    </font>
    <font>
      <b/>
      <sz val="10"/>
      <color indexed="81"/>
      <name val="Tahoma"/>
      <family val="2"/>
    </font>
    <font>
      <sz val="10"/>
      <color indexed="81"/>
      <name val="Tahoma"/>
      <family val="2"/>
    </font>
    <font>
      <b/>
      <vertAlign val="subscript"/>
      <sz val="12"/>
      <color theme="1"/>
      <name val="Arial"/>
      <family val="2"/>
    </font>
    <font>
      <i/>
      <sz val="12"/>
      <color theme="1"/>
      <name val="Arial"/>
      <family val="2"/>
    </font>
    <font>
      <b/>
      <sz val="12"/>
      <color theme="0"/>
      <name val="Calibri"/>
      <family val="2"/>
      <scheme val="minor"/>
    </font>
    <font>
      <b/>
      <i/>
      <sz val="12"/>
      <color theme="1"/>
      <name val="Arial"/>
      <family val="2"/>
    </font>
    <font>
      <b/>
      <sz val="12"/>
      <name val="Arial"/>
      <family val="2"/>
    </font>
    <font>
      <sz val="11"/>
      <color rgb="FFFF0000"/>
      <name val="Calibri"/>
      <family val="2"/>
      <scheme val="minor"/>
    </font>
    <font>
      <b/>
      <sz val="11"/>
      <name val="Calibri"/>
      <family val="2"/>
      <scheme val="minor"/>
    </font>
    <font>
      <i/>
      <sz val="11"/>
      <color theme="1"/>
      <name val="Arial"/>
      <family val="2"/>
    </font>
    <font>
      <b/>
      <sz val="9"/>
      <color theme="1"/>
      <name val="Arial"/>
      <family val="2"/>
    </font>
    <font>
      <sz val="10"/>
      <color theme="9" tint="-0.249977111117893"/>
      <name val="Calibri"/>
      <family val="2"/>
      <scheme val="minor"/>
    </font>
    <font>
      <sz val="14"/>
      <color theme="1"/>
      <name val="Calibri"/>
      <family val="2"/>
      <scheme val="minor"/>
    </font>
    <font>
      <sz val="11"/>
      <color theme="9" tint="-0.249977111117893"/>
      <name val="Arial"/>
      <family val="2"/>
    </font>
    <font>
      <sz val="10"/>
      <color theme="1"/>
      <name val="Verdana"/>
      <family val="2"/>
    </font>
    <font>
      <b/>
      <sz val="10"/>
      <color theme="1"/>
      <name val="Verdana"/>
      <family val="2"/>
    </font>
    <font>
      <sz val="18"/>
      <color theme="1"/>
      <name val="Arial"/>
      <family val="2"/>
    </font>
    <font>
      <sz val="10"/>
      <color theme="1"/>
      <name val="Times New Roman"/>
      <family val="1"/>
    </font>
    <font>
      <vertAlign val="subscript"/>
      <sz val="12"/>
      <color theme="1"/>
      <name val="Arial"/>
      <family val="2"/>
    </font>
    <font>
      <sz val="9"/>
      <color theme="1"/>
      <name val="Verdana"/>
      <family val="2"/>
    </font>
    <font>
      <b/>
      <i/>
      <vertAlign val="superscript"/>
      <sz val="12"/>
      <color theme="1"/>
      <name val="Arial"/>
      <family val="2"/>
    </font>
    <font>
      <b/>
      <i/>
      <sz val="10"/>
      <color theme="1"/>
      <name val="Arial"/>
      <family val="2"/>
    </font>
    <font>
      <b/>
      <sz val="10"/>
      <color rgb="FFFF0000"/>
      <name val="Arial"/>
      <family val="2"/>
    </font>
    <font>
      <sz val="9"/>
      <color indexed="81"/>
      <name val="Tahoma"/>
      <family val="2"/>
    </font>
    <font>
      <b/>
      <sz val="9"/>
      <color indexed="81"/>
      <name val="Tahoma"/>
      <family val="2"/>
    </font>
    <font>
      <sz val="10"/>
      <color indexed="8"/>
      <name val="Arial"/>
      <family val="2"/>
    </font>
    <font>
      <sz val="12"/>
      <name val="Arial"/>
      <family val="2"/>
    </font>
    <font>
      <sz val="26"/>
      <color rgb="FF34CCE0"/>
      <name val="Calibri"/>
      <family val="2"/>
      <scheme val="minor"/>
    </font>
    <font>
      <sz val="9"/>
      <color theme="1"/>
      <name val="Arial"/>
      <family val="2"/>
    </font>
    <font>
      <sz val="9"/>
      <color rgb="FF000000"/>
      <name val="Arial"/>
      <family val="2"/>
    </font>
    <font>
      <b/>
      <sz val="12"/>
      <color rgb="FF000000"/>
      <name val="Arial"/>
      <family val="2"/>
    </font>
    <font>
      <sz val="12"/>
      <color rgb="FF000000"/>
      <name val="Arial"/>
      <family val="2"/>
    </font>
    <font>
      <sz val="14"/>
      <color indexed="81"/>
      <name val="Tahoma"/>
      <family val="2"/>
    </font>
    <font>
      <b/>
      <sz val="12"/>
      <color indexed="81"/>
      <name val="Arial"/>
      <family val="2"/>
    </font>
    <font>
      <b/>
      <sz val="16"/>
      <color indexed="81"/>
      <name val="Tahoma"/>
      <family val="2"/>
    </font>
    <font>
      <sz val="14"/>
      <color theme="1"/>
      <name val="Arial"/>
      <family val="2"/>
    </font>
    <font>
      <sz val="12"/>
      <color theme="1"/>
      <name val="Times New Roman"/>
      <family val="1"/>
    </font>
    <font>
      <b/>
      <vertAlign val="superscript"/>
      <sz val="12"/>
      <color theme="1"/>
      <name val="Arial"/>
      <family val="2"/>
    </font>
    <font>
      <sz val="12"/>
      <color theme="9" tint="-0.249977111117893"/>
      <name val="Arial"/>
      <family val="2"/>
    </font>
    <font>
      <b/>
      <sz val="12"/>
      <color theme="9" tint="-0.249977111117893"/>
      <name val="Arial"/>
      <family val="2"/>
    </font>
    <font>
      <b/>
      <vertAlign val="superscript"/>
      <sz val="12"/>
      <name val="Arial"/>
      <family val="2"/>
    </font>
    <font>
      <sz val="12"/>
      <color theme="1"/>
      <name val="Calibri"/>
      <family val="2"/>
      <scheme val="minor"/>
    </font>
    <font>
      <b/>
      <sz val="12"/>
      <color theme="4" tint="-0.249977111117893"/>
      <name val="Arial"/>
      <family val="2"/>
    </font>
    <font>
      <b/>
      <sz val="14"/>
      <color indexed="81"/>
      <name val="Tahoma"/>
      <family val="2"/>
    </font>
    <font>
      <b/>
      <i/>
      <u/>
      <sz val="10"/>
      <color theme="1"/>
      <name val="Arial"/>
      <family val="2"/>
    </font>
    <font>
      <u/>
      <sz val="12"/>
      <color theme="1"/>
      <name val="Arial"/>
      <family val="2"/>
    </font>
    <font>
      <b/>
      <u/>
      <sz val="12"/>
      <color theme="1"/>
      <name val="Arial"/>
      <family val="2"/>
    </font>
    <font>
      <sz val="11"/>
      <name val="Arial"/>
      <family val="2"/>
    </font>
    <font>
      <b/>
      <sz val="11"/>
      <name val="Arial"/>
      <family val="2"/>
    </font>
    <font>
      <b/>
      <sz val="12"/>
      <color theme="1"/>
      <name val="Calibri"/>
      <family val="2"/>
      <scheme val="minor"/>
    </font>
    <font>
      <b/>
      <i/>
      <u/>
      <sz val="12"/>
      <color theme="1"/>
      <name val="Arial"/>
      <family val="2"/>
    </font>
    <font>
      <sz val="11"/>
      <color rgb="FFFF0000"/>
      <name val="Arial"/>
      <family val="2"/>
    </font>
    <font>
      <sz val="12"/>
      <color rgb="FFFF0000"/>
      <name val="Arial"/>
      <family val="2"/>
    </font>
    <font>
      <b/>
      <sz val="11"/>
      <color rgb="FFFF0000"/>
      <name val="Calibri"/>
      <family val="2"/>
      <scheme val="minor"/>
    </font>
    <font>
      <sz val="8"/>
      <color rgb="FFFF0000"/>
      <name val="Calibri"/>
      <family val="2"/>
      <scheme val="minor"/>
    </font>
    <font>
      <sz val="12"/>
      <name val="Calibri"/>
      <family val="2"/>
      <scheme val="minor"/>
    </font>
    <font>
      <b/>
      <sz val="10"/>
      <name val="Arial"/>
      <family val="2"/>
    </font>
    <font>
      <b/>
      <vertAlign val="subscript"/>
      <sz val="12"/>
      <name val="Arial"/>
      <family val="2"/>
    </font>
    <font>
      <i/>
      <sz val="12"/>
      <name val="Arial"/>
      <family val="2"/>
    </font>
    <font>
      <i/>
      <sz val="10"/>
      <name val="Arial"/>
      <family val="2"/>
    </font>
    <font>
      <vertAlign val="subscript"/>
      <sz val="12"/>
      <name val="Arial"/>
      <family val="2"/>
    </font>
    <font>
      <sz val="12"/>
      <name val="Calibri"/>
      <family val="2"/>
    </font>
    <font>
      <vertAlign val="superscript"/>
      <sz val="12"/>
      <name val="Arial"/>
      <family val="2"/>
    </font>
    <font>
      <b/>
      <sz val="12"/>
      <name val="Calibri"/>
      <family val="2"/>
      <scheme val="minor"/>
    </font>
  </fonts>
  <fills count="46">
    <fill>
      <patternFill patternType="none"/>
    </fill>
    <fill>
      <patternFill patternType="gray125"/>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6"/>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22"/>
        <bgColor indexed="64"/>
      </patternFill>
    </fill>
    <fill>
      <patternFill patternType="darkTrellis"/>
    </fill>
    <fill>
      <patternFill patternType="solid">
        <fgColor indexed="55"/>
      </patternFill>
    </fill>
    <fill>
      <patternFill patternType="solid">
        <fgColor rgb="FFFFFF9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5"/>
        <bgColor indexed="64"/>
      </patternFill>
    </fill>
    <fill>
      <patternFill patternType="solid">
        <fgColor theme="0" tint="-0.249977111117893"/>
        <bgColor indexed="64"/>
      </patternFill>
    </fill>
    <fill>
      <patternFill patternType="solid">
        <fgColor rgb="FFF2F2F2"/>
        <bgColor indexed="64"/>
      </patternFill>
    </fill>
    <fill>
      <patternFill patternType="solid">
        <fgColor indexed="22"/>
        <bgColor indexed="0"/>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6DDAE9"/>
        <bgColor indexed="64"/>
      </patternFill>
    </fill>
    <fill>
      <patternFill patternType="solid">
        <fgColor rgb="FFDBEEF3"/>
        <bgColor indexed="64"/>
      </patternFill>
    </fill>
    <fill>
      <patternFill patternType="solid">
        <fgColor rgb="FF00B0F0"/>
        <bgColor indexed="64"/>
      </patternFill>
    </fill>
    <fill>
      <patternFill patternType="solid">
        <fgColor rgb="FFFF99FF"/>
        <bgColor indexed="64"/>
      </patternFill>
    </fill>
    <fill>
      <patternFill patternType="solid">
        <fgColor theme="0"/>
        <bgColor indexed="64"/>
      </patternFill>
    </fill>
  </fills>
  <borders count="7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4"/>
      </top>
      <bottom style="double">
        <color indexed="64"/>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auto="1"/>
      </right>
      <top style="thin">
        <color indexed="64"/>
      </top>
      <bottom/>
      <diagonal/>
    </border>
    <border>
      <left style="thin">
        <color indexed="64"/>
      </left>
      <right style="thin">
        <color auto="1"/>
      </right>
      <top style="thin">
        <color indexed="64"/>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style="dotted">
        <color auto="1"/>
      </bottom>
      <diagonal/>
    </border>
    <border>
      <left/>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tted">
        <color auto="1"/>
      </top>
      <bottom/>
      <diagonal/>
    </border>
    <border>
      <left/>
      <right/>
      <top style="thin">
        <color indexed="64"/>
      </top>
      <bottom style="dotted">
        <color auto="1"/>
      </bottom>
      <diagonal/>
    </border>
    <border>
      <left/>
      <right style="thin">
        <color auto="1"/>
      </right>
      <top style="thin">
        <color indexed="64"/>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style="thin">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ck">
        <color rgb="FFFF0000"/>
      </top>
      <bottom/>
      <diagonal/>
    </border>
    <border>
      <left style="thin">
        <color indexed="64"/>
      </left>
      <right/>
      <top/>
      <bottom style="thick">
        <color rgb="FFFF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277">
    <xf numFmtId="0" fontId="0" fillId="0" borderId="0"/>
    <xf numFmtId="164" fontId="3"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49" fontId="5" fillId="0" borderId="2" applyNumberFormat="0" applyFont="0" applyFill="0" applyBorder="0" applyProtection="0">
      <alignment horizontal="left" vertical="center" indent="2"/>
    </xf>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49" fontId="5" fillId="0" borderId="1" applyNumberFormat="0" applyFont="0" applyFill="0" applyBorder="0" applyProtection="0">
      <alignment horizontal="left" vertical="center" indent="5"/>
    </xf>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 fontId="8" fillId="0" borderId="3" applyFill="0" applyBorder="0" applyProtection="0">
      <alignment horizontal="right" vertical="center"/>
    </xf>
    <xf numFmtId="0" fontId="9" fillId="15" borderId="4" applyNumberFormat="0" applyAlignment="0" applyProtection="0"/>
    <xf numFmtId="0" fontId="9" fillId="15" borderId="4" applyNumberFormat="0" applyAlignment="0" applyProtection="0"/>
    <xf numFmtId="0" fontId="9" fillId="15" borderId="4" applyNumberFormat="0" applyAlignment="0" applyProtection="0"/>
    <xf numFmtId="0" fontId="9" fillId="15" borderId="4" applyNumberFormat="0" applyAlignment="0" applyProtection="0"/>
    <xf numFmtId="0" fontId="9" fillId="15" borderId="4" applyNumberFormat="0" applyAlignment="0" applyProtection="0"/>
    <xf numFmtId="0" fontId="9" fillId="15" borderId="4" applyNumberFormat="0" applyAlignment="0" applyProtection="0"/>
    <xf numFmtId="0" fontId="9" fillId="15" borderId="4" applyNumberFormat="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0" fontId="7" fillId="0" borderId="5" applyNumberFormat="0" applyFill="0" applyAlignment="0" applyProtection="0"/>
    <xf numFmtId="167" fontId="10" fillId="0" borderId="0" applyFont="0" applyFill="0" applyBorder="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0" fontId="10" fillId="4" borderId="6" applyNumberFormat="0" applyFont="0" applyAlignment="0" applyProtection="0"/>
    <xf numFmtId="168" fontId="10" fillId="0" borderId="0" applyFont="0" applyFill="0" applyBorder="0" applyAlignment="0" applyProtection="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0" fontId="16" fillId="3" borderId="4" applyNumberFormat="0" applyAlignment="0" applyProtection="0"/>
    <xf numFmtId="169" fontId="17"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2" fontId="11" fillId="0" borderId="0" applyFill="0" applyBorder="0" applyAlignment="0" applyProtection="0"/>
    <xf numFmtId="2" fontId="11" fillId="0" borderId="0" applyFill="0" applyBorder="0" applyAlignment="0" applyProtection="0"/>
    <xf numFmtId="2" fontId="11" fillId="0" borderId="0" applyFill="0" applyBorder="0" applyAlignment="0" applyProtection="0"/>
    <xf numFmtId="0" fontId="18" fillId="0" borderId="0" applyNumberFormat="0" applyFill="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4" fontId="3" fillId="0" borderId="0" applyFont="0" applyFill="0" applyBorder="0" applyAlignment="0" applyProtection="0"/>
    <xf numFmtId="170" fontId="17" fillId="0" borderId="0" applyFont="0" applyFill="0" applyBorder="0" applyAlignment="0" applyProtection="0"/>
    <xf numFmtId="164" fontId="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64" fontId="10" fillId="0" borderId="0" applyFont="0" applyFill="0" applyBorder="0" applyAlignment="0" applyProtection="0"/>
    <xf numFmtId="4" fontId="11" fillId="0" borderId="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 fontId="11" fillId="0" borderId="0" applyFill="0" applyBorder="0" applyAlignment="0" applyProtection="0"/>
    <xf numFmtId="170" fontId="1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64" fontId="10" fillId="0" borderId="0" applyFont="0" applyFill="0" applyBorder="0" applyAlignment="0" applyProtection="0"/>
    <xf numFmtId="4" fontId="11" fillId="0" borderId="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11" fillId="0" borderId="0"/>
    <xf numFmtId="0" fontId="17" fillId="0" borderId="0"/>
    <xf numFmtId="4" fontId="5" fillId="0" borderId="2" applyFill="0" applyBorder="0" applyProtection="0">
      <alignment horizontal="right" vertical="center"/>
    </xf>
    <xf numFmtId="49" fontId="8" fillId="0" borderId="2" applyNumberFormat="0" applyFill="0" applyBorder="0" applyProtection="0">
      <alignment horizontal="left" vertical="center"/>
    </xf>
    <xf numFmtId="0" fontId="5" fillId="0" borderId="2" applyNumberFormat="0" applyFill="0" applyAlignment="0" applyProtection="0"/>
    <xf numFmtId="0" fontId="24" fillId="17" borderId="0" applyNumberFormat="0" applyFont="0" applyBorder="0" applyAlignment="0" applyProtection="0"/>
    <xf numFmtId="173" fontId="5" fillId="18" borderId="2" applyNumberFormat="0" applyFont="0" applyBorder="0" applyAlignment="0" applyProtection="0">
      <alignment horizontal="right" vertical="center"/>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6" fillId="15" borderId="7"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33" fillId="0" borderId="12"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11" fillId="0" borderId="11" applyNumberFormat="0" applyFill="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0" fontId="34" fillId="19" borderId="13" applyNumberFormat="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164" fontId="1" fillId="0" borderId="0" applyFont="0" applyFill="0" applyBorder="0" applyAlignment="0" applyProtection="0"/>
    <xf numFmtId="0" fontId="10" fillId="0" borderId="0"/>
    <xf numFmtId="0" fontId="78" fillId="0" borderId="0"/>
    <xf numFmtId="0" fontId="78" fillId="0" borderId="0"/>
    <xf numFmtId="0" fontId="78" fillId="0" borderId="0"/>
    <xf numFmtId="0" fontId="78" fillId="0" borderId="0"/>
  </cellStyleXfs>
  <cellXfs count="950">
    <xf numFmtId="0" fontId="0" fillId="0" borderId="0" xfId="0"/>
    <xf numFmtId="0" fontId="4" fillId="0" borderId="0" xfId="0" applyFont="1" applyBorder="1" applyAlignment="1">
      <alignment horizontal="center" vertical="center" wrapText="1"/>
    </xf>
    <xf numFmtId="0" fontId="37" fillId="0" borderId="0" xfId="0" applyFont="1" applyAlignment="1">
      <alignment vertical="center"/>
    </xf>
    <xf numFmtId="0" fontId="40" fillId="0" borderId="0" xfId="0" applyFont="1" applyAlignment="1">
      <alignment vertical="center"/>
    </xf>
    <xf numFmtId="0" fontId="36" fillId="0" borderId="0" xfId="0" applyFont="1" applyAlignment="1">
      <alignment vertical="center"/>
    </xf>
    <xf numFmtId="0" fontId="42" fillId="0" borderId="23" xfId="0" applyFont="1" applyBorder="1" applyAlignment="1">
      <alignment horizontal="center" vertical="center"/>
    </xf>
    <xf numFmtId="0" fontId="42" fillId="0" borderId="24" xfId="0" applyFont="1" applyFill="1" applyBorder="1" applyAlignment="1">
      <alignment vertical="center"/>
    </xf>
    <xf numFmtId="0" fontId="42" fillId="0" borderId="25" xfId="0" applyFont="1" applyFill="1" applyBorder="1" applyAlignment="1">
      <alignment vertical="center"/>
    </xf>
    <xf numFmtId="0" fontId="42" fillId="0" borderId="25" xfId="0" applyFont="1" applyBorder="1" applyAlignment="1">
      <alignment horizontal="center" vertical="center"/>
    </xf>
    <xf numFmtId="0" fontId="36" fillId="27" borderId="2" xfId="0" applyFont="1" applyFill="1" applyBorder="1" applyAlignment="1">
      <alignment horizontal="left" vertical="center"/>
    </xf>
    <xf numFmtId="0" fontId="36" fillId="27" borderId="2" xfId="0" applyFont="1" applyFill="1" applyBorder="1" applyAlignment="1">
      <alignment horizontal="center" vertical="center"/>
    </xf>
    <xf numFmtId="0" fontId="2" fillId="0" borderId="0" xfId="0" applyFont="1" applyBorder="1" applyAlignment="1">
      <alignment horizontal="center" vertical="center" wrapText="1"/>
    </xf>
    <xf numFmtId="0" fontId="36" fillId="27" borderId="2" xfId="0" applyFont="1" applyFill="1" applyBorder="1" applyAlignment="1">
      <alignment horizontal="center" vertical="center" wrapText="1"/>
    </xf>
    <xf numFmtId="0" fontId="42" fillId="0" borderId="24" xfId="0" applyFont="1" applyFill="1" applyBorder="1" applyAlignment="1">
      <alignment horizontal="center" vertical="center"/>
    </xf>
    <xf numFmtId="0" fontId="42" fillId="0" borderId="3" xfId="0" applyFont="1" applyBorder="1" applyAlignment="1">
      <alignment horizontal="center" vertical="center"/>
    </xf>
    <xf numFmtId="0" fontId="36" fillId="0" borderId="24" xfId="0" applyFont="1" applyFill="1" applyBorder="1" applyAlignment="1">
      <alignment horizontal="left" vertical="center" wrapText="1"/>
    </xf>
    <xf numFmtId="0" fontId="36" fillId="0" borderId="25" xfId="0" applyFont="1" applyFill="1" applyBorder="1" applyAlignment="1">
      <alignment horizontal="left" vertical="center" wrapText="1"/>
    </xf>
    <xf numFmtId="0" fontId="36" fillId="27" borderId="26" xfId="0" applyFont="1" applyFill="1" applyBorder="1" applyAlignment="1">
      <alignment horizontal="center" vertical="center"/>
    </xf>
    <xf numFmtId="175" fontId="42" fillId="0" borderId="24" xfId="0" applyNumberFormat="1" applyFont="1" applyBorder="1" applyAlignment="1">
      <alignment horizontal="center" vertical="center"/>
    </xf>
    <xf numFmtId="175" fontId="42" fillId="0" borderId="25" xfId="0" applyNumberFormat="1" applyFont="1" applyBorder="1" applyAlignment="1">
      <alignment horizontal="center" vertical="center"/>
    </xf>
    <xf numFmtId="0" fontId="40" fillId="0" borderId="0" xfId="0" applyFont="1" applyAlignment="1" applyProtection="1">
      <alignment vertical="center"/>
      <protection hidden="1"/>
    </xf>
    <xf numFmtId="0" fontId="40" fillId="28" borderId="0" xfId="0" applyFont="1" applyFill="1" applyAlignment="1" applyProtection="1">
      <alignment vertical="center"/>
      <protection hidden="1"/>
    </xf>
    <xf numFmtId="0" fontId="40" fillId="23" borderId="0" xfId="0" applyFont="1" applyFill="1" applyAlignment="1" applyProtection="1">
      <alignment vertical="center"/>
      <protection hidden="1"/>
    </xf>
    <xf numFmtId="166" fontId="40" fillId="25" borderId="0" xfId="1" applyNumberFormat="1" applyFont="1" applyFill="1" applyAlignment="1" applyProtection="1">
      <alignment vertical="center"/>
      <protection hidden="1"/>
    </xf>
    <xf numFmtId="0" fontId="41" fillId="24" borderId="0" xfId="0" applyFont="1" applyFill="1" applyAlignment="1" applyProtection="1">
      <alignment vertical="center"/>
      <protection hidden="1"/>
    </xf>
    <xf numFmtId="166" fontId="40" fillId="25" borderId="0" xfId="0" applyNumberFormat="1" applyFont="1" applyFill="1" applyAlignment="1" applyProtection="1">
      <alignment vertical="center"/>
      <protection hidden="1"/>
    </xf>
    <xf numFmtId="9" fontId="40" fillId="25" borderId="0" xfId="2" applyFont="1" applyFill="1" applyAlignment="1" applyProtection="1">
      <alignment vertical="center"/>
      <protection hidden="1"/>
    </xf>
    <xf numFmtId="0" fontId="40" fillId="25" borderId="0" xfId="0" applyFont="1" applyFill="1" applyAlignment="1" applyProtection="1">
      <alignment vertical="center"/>
      <protection hidden="1"/>
    </xf>
    <xf numFmtId="0" fontId="35" fillId="0" borderId="0" xfId="0" applyFont="1" applyAlignment="1" applyProtection="1">
      <alignment vertical="center"/>
      <protection hidden="1"/>
    </xf>
    <xf numFmtId="9" fontId="40" fillId="25" borderId="0" xfId="2" applyNumberFormat="1" applyFont="1" applyFill="1" applyAlignment="1" applyProtection="1">
      <alignment vertical="center"/>
      <protection hidden="1"/>
    </xf>
    <xf numFmtId="0" fontId="40" fillId="0" borderId="0" xfId="0" applyFont="1" applyAlignment="1" applyProtection="1">
      <alignment vertical="center" wrapText="1"/>
      <protection hidden="1"/>
    </xf>
    <xf numFmtId="166" fontId="40" fillId="0" borderId="0" xfId="0" applyNumberFormat="1" applyFont="1" applyAlignment="1" applyProtection="1">
      <alignment vertical="center"/>
      <protection hidden="1"/>
    </xf>
    <xf numFmtId="9" fontId="40" fillId="23" borderId="0" xfId="0" applyNumberFormat="1" applyFont="1" applyFill="1" applyAlignment="1" applyProtection="1">
      <alignment vertical="center"/>
      <protection hidden="1"/>
    </xf>
    <xf numFmtId="0" fontId="35" fillId="0" borderId="17" xfId="0" applyFont="1" applyBorder="1" applyAlignment="1" applyProtection="1">
      <alignment vertical="center"/>
      <protection hidden="1"/>
    </xf>
    <xf numFmtId="0" fontId="40" fillId="0" borderId="0" xfId="0" applyFont="1" applyBorder="1" applyAlignment="1" applyProtection="1">
      <alignment vertical="center"/>
      <protection hidden="1"/>
    </xf>
    <xf numFmtId="0" fontId="35" fillId="0" borderId="0" xfId="0" applyFont="1" applyBorder="1" applyAlignment="1" applyProtection="1">
      <alignment vertical="center"/>
      <protection hidden="1"/>
    </xf>
    <xf numFmtId="0" fontId="40" fillId="0" borderId="18" xfId="0" applyFont="1" applyBorder="1" applyAlignment="1" applyProtection="1">
      <alignment vertical="center"/>
      <protection hidden="1"/>
    </xf>
    <xf numFmtId="0" fontId="40" fillId="0" borderId="17" xfId="0" applyFont="1" applyBorder="1" applyAlignment="1" applyProtection="1">
      <alignment vertical="center"/>
      <protection hidden="1"/>
    </xf>
    <xf numFmtId="174" fontId="40" fillId="25" borderId="18" xfId="1" applyNumberFormat="1" applyFont="1" applyFill="1" applyBorder="1" applyAlignment="1" applyProtection="1">
      <alignment vertical="center"/>
      <protection hidden="1"/>
    </xf>
    <xf numFmtId="0" fontId="40" fillId="0" borderId="19" xfId="0" applyFont="1" applyBorder="1" applyAlignment="1" applyProtection="1">
      <alignment vertical="center"/>
      <protection hidden="1"/>
    </xf>
    <xf numFmtId="0" fontId="40" fillId="0" borderId="20" xfId="0" applyFont="1" applyBorder="1" applyAlignment="1" applyProtection="1">
      <alignment vertical="center"/>
      <protection hidden="1"/>
    </xf>
    <xf numFmtId="0" fontId="40" fillId="0" borderId="21" xfId="0" applyFont="1" applyBorder="1" applyAlignment="1" applyProtection="1">
      <alignment vertical="center"/>
      <protection hidden="1"/>
    </xf>
    <xf numFmtId="0" fontId="46" fillId="0" borderId="0" xfId="0" applyFont="1" applyAlignment="1" applyProtection="1">
      <alignment vertical="center"/>
      <protection hidden="1"/>
    </xf>
    <xf numFmtId="166" fontId="40" fillId="23" borderId="0" xfId="1" applyNumberFormat="1" applyFont="1" applyFill="1" applyAlignment="1" applyProtection="1">
      <alignment vertical="center"/>
      <protection hidden="1"/>
    </xf>
    <xf numFmtId="166" fontId="40" fillId="28" borderId="0" xfId="0" applyNumberFormat="1" applyFont="1" applyFill="1" applyAlignment="1" applyProtection="1">
      <alignment vertical="center"/>
      <protection hidden="1"/>
    </xf>
    <xf numFmtId="0" fontId="39" fillId="0" borderId="0" xfId="0" applyFont="1" applyAlignment="1" applyProtection="1">
      <alignment vertical="center"/>
      <protection hidden="1"/>
    </xf>
    <xf numFmtId="0" fontId="42" fillId="0" borderId="0" xfId="0" applyFont="1" applyBorder="1" applyAlignment="1">
      <alignment vertical="center"/>
    </xf>
    <xf numFmtId="0" fontId="36" fillId="0" borderId="0" xfId="0" applyFont="1" applyFill="1" applyBorder="1" applyAlignment="1">
      <alignment horizontal="center" vertical="center" wrapText="1"/>
    </xf>
    <xf numFmtId="175" fontId="42" fillId="0" borderId="0" xfId="0" applyNumberFormat="1" applyFont="1" applyBorder="1" applyAlignment="1">
      <alignment horizontal="center" vertical="center"/>
    </xf>
    <xf numFmtId="0" fontId="50" fillId="0" borderId="0" xfId="0" applyFont="1" applyFill="1" applyBorder="1" applyAlignment="1">
      <alignment horizontal="left" vertical="center"/>
    </xf>
    <xf numFmtId="0" fontId="42" fillId="0" borderId="24" xfId="0" applyFont="1" applyBorder="1" applyAlignment="1">
      <alignment horizontal="center" vertical="center"/>
    </xf>
    <xf numFmtId="0" fontId="42" fillId="0" borderId="27" xfId="0" applyFont="1" applyFill="1" applyBorder="1" applyAlignment="1">
      <alignment vertical="center"/>
    </xf>
    <xf numFmtId="0" fontId="42" fillId="0" borderId="27" xfId="0" applyFont="1" applyBorder="1" applyAlignment="1">
      <alignment horizontal="center" vertical="center"/>
    </xf>
    <xf numFmtId="10" fontId="0" fillId="0" borderId="0" xfId="0" applyNumberFormat="1"/>
    <xf numFmtId="164" fontId="0" fillId="25" borderId="0" xfId="1" applyFont="1" applyFill="1" applyBorder="1"/>
    <xf numFmtId="9" fontId="0" fillId="25" borderId="0" xfId="2" applyNumberFormat="1" applyFont="1" applyFill="1" applyBorder="1"/>
    <xf numFmtId="0" fontId="36" fillId="0" borderId="23" xfId="0" applyFont="1" applyFill="1" applyBorder="1" applyAlignment="1">
      <alignment horizontal="left" vertical="center" wrapText="1"/>
    </xf>
    <xf numFmtId="3" fontId="42" fillId="0" borderId="23" xfId="0" applyNumberFormat="1" applyFont="1" applyBorder="1" applyAlignment="1">
      <alignment horizontal="center" vertical="center"/>
    </xf>
    <xf numFmtId="3" fontId="42" fillId="0" borderId="25" xfId="0" applyNumberFormat="1" applyFont="1" applyBorder="1" applyAlignment="1">
      <alignment horizontal="center" vertical="center"/>
    </xf>
    <xf numFmtId="0" fontId="0" fillId="29" borderId="0" xfId="0" applyFill="1"/>
    <xf numFmtId="0" fontId="49" fillId="29" borderId="0" xfId="0" applyFont="1" applyFill="1"/>
    <xf numFmtId="0" fontId="51" fillId="0" borderId="0" xfId="0" applyFont="1" applyFill="1"/>
    <xf numFmtId="0" fontId="0" fillId="0" borderId="0" xfId="0" applyFill="1" applyAlignment="1">
      <alignment vertical="center"/>
    </xf>
    <xf numFmtId="3" fontId="0" fillId="28" borderId="0" xfId="0" applyNumberFormat="1" applyFill="1" applyAlignment="1">
      <alignment horizontal="center" vertical="center"/>
    </xf>
    <xf numFmtId="1" fontId="0" fillId="28" borderId="0" xfId="0" applyNumberFormat="1" applyFill="1" applyAlignment="1">
      <alignment horizontal="center" vertical="center"/>
    </xf>
    <xf numFmtId="0" fontId="49" fillId="29" borderId="0" xfId="0" applyFont="1" applyFill="1" applyAlignment="1">
      <alignment vertical="center"/>
    </xf>
    <xf numFmtId="166" fontId="0" fillId="29" borderId="0" xfId="1" applyNumberFormat="1" applyFont="1" applyFill="1" applyBorder="1"/>
    <xf numFmtId="0" fontId="0" fillId="29" borderId="0" xfId="0" applyFill="1" applyBorder="1"/>
    <xf numFmtId="0" fontId="57" fillId="29" borderId="0" xfId="0" applyFont="1" applyFill="1"/>
    <xf numFmtId="0" fontId="57" fillId="29" borderId="0" xfId="0" applyFont="1" applyFill="1" applyAlignment="1">
      <alignment vertical="center"/>
    </xf>
    <xf numFmtId="0" fontId="42" fillId="0" borderId="0" xfId="0" applyFont="1"/>
    <xf numFmtId="0" fontId="38" fillId="0" borderId="25" xfId="0" applyFont="1" applyFill="1" applyBorder="1" applyAlignment="1">
      <alignment horizont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181" fontId="0" fillId="25" borderId="0" xfId="1" applyNumberFormat="1" applyFont="1" applyFill="1" applyBorder="1"/>
    <xf numFmtId="0" fontId="48" fillId="28" borderId="0" xfId="0" applyFont="1" applyFill="1" applyBorder="1"/>
    <xf numFmtId="0" fontId="60" fillId="0" borderId="0" xfId="0" applyFont="1" applyFill="1" applyBorder="1"/>
    <xf numFmtId="183" fontId="0" fillId="23" borderId="0" xfId="2" applyNumberFormat="1" applyFont="1" applyFill="1" applyAlignment="1">
      <alignment horizontal="center"/>
    </xf>
    <xf numFmtId="0" fontId="36" fillId="27" borderId="30" xfId="0" applyFont="1" applyFill="1" applyBorder="1" applyAlignment="1">
      <alignment vertical="center"/>
    </xf>
    <xf numFmtId="0" fontId="36" fillId="27" borderId="31" xfId="0" applyFont="1" applyFill="1" applyBorder="1" applyAlignment="1">
      <alignment vertical="center"/>
    </xf>
    <xf numFmtId="0" fontId="36" fillId="27" borderId="32" xfId="0" applyFont="1" applyFill="1" applyBorder="1" applyAlignment="1">
      <alignment vertical="center"/>
    </xf>
    <xf numFmtId="0" fontId="0" fillId="0" borderId="0" xfId="0"/>
    <xf numFmtId="0" fontId="42" fillId="0" borderId="0" xfId="0" applyFont="1" applyFill="1" applyBorder="1" applyAlignment="1">
      <alignment horizontal="center" vertical="center" wrapText="1"/>
    </xf>
    <xf numFmtId="0" fontId="36" fillId="0" borderId="0" xfId="0" applyFont="1" applyFill="1" applyBorder="1" applyAlignment="1">
      <alignment horizontal="left" vertical="center"/>
    </xf>
    <xf numFmtId="0" fontId="0" fillId="0" borderId="0" xfId="0"/>
    <xf numFmtId="0" fontId="0" fillId="0" borderId="0" xfId="0" applyFill="1"/>
    <xf numFmtId="0" fontId="0" fillId="0" borderId="0" xfId="0" applyFill="1" applyBorder="1"/>
    <xf numFmtId="0" fontId="0" fillId="0" borderId="0" xfId="0"/>
    <xf numFmtId="0" fontId="48" fillId="0" borderId="0" xfId="0" applyFont="1"/>
    <xf numFmtId="0" fontId="0" fillId="0" borderId="0" xfId="0" applyFill="1"/>
    <xf numFmtId="9" fontId="0" fillId="25" borderId="0" xfId="2" applyNumberFormat="1" applyFont="1" applyFill="1"/>
    <xf numFmtId="0" fontId="48" fillId="0" borderId="0" xfId="0" applyFont="1" applyFill="1"/>
    <xf numFmtId="0" fontId="0" fillId="0" borderId="0" xfId="0" applyAlignment="1">
      <alignment vertical="center"/>
    </xf>
    <xf numFmtId="0" fontId="47" fillId="0" borderId="0" xfId="0" applyFont="1" applyFill="1" applyAlignment="1">
      <alignment horizontal="center"/>
    </xf>
    <xf numFmtId="176" fontId="0" fillId="0" borderId="0" xfId="0" applyNumberFormat="1" applyFill="1"/>
    <xf numFmtId="0" fontId="51" fillId="0" borderId="0" xfId="0" applyFont="1" applyFill="1" applyAlignment="1">
      <alignment horizontal="center"/>
    </xf>
    <xf numFmtId="9" fontId="0" fillId="0" borderId="0" xfId="2" applyNumberFormat="1" applyFont="1" applyFill="1"/>
    <xf numFmtId="184" fontId="0" fillId="0" borderId="0" xfId="1271" applyNumberFormat="1" applyFont="1" applyFill="1"/>
    <xf numFmtId="0" fontId="48" fillId="0" borderId="17" xfId="0" applyFont="1" applyBorder="1"/>
    <xf numFmtId="0" fontId="0" fillId="0" borderId="17" xfId="0" applyBorder="1"/>
    <xf numFmtId="0" fontId="0" fillId="0" borderId="0" xfId="0" applyBorder="1"/>
    <xf numFmtId="0" fontId="48" fillId="0" borderId="0" xfId="0" applyFont="1" applyBorder="1"/>
    <xf numFmtId="0" fontId="0" fillId="0" borderId="19" xfId="0" applyFill="1" applyBorder="1"/>
    <xf numFmtId="166" fontId="52" fillId="0" borderId="20" xfId="1271" applyNumberFormat="1" applyFont="1" applyFill="1" applyBorder="1"/>
    <xf numFmtId="9" fontId="0" fillId="0" borderId="20" xfId="2" applyNumberFormat="1" applyFont="1" applyFill="1" applyBorder="1"/>
    <xf numFmtId="0" fontId="0" fillId="0" borderId="20" xfId="0" applyFill="1" applyBorder="1"/>
    <xf numFmtId="166" fontId="0" fillId="0" borderId="21" xfId="1271" applyNumberFormat="1" applyFont="1" applyFill="1" applyBorder="1"/>
    <xf numFmtId="164" fontId="0" fillId="25" borderId="18" xfId="1271" applyNumberFormat="1" applyFont="1" applyFill="1" applyBorder="1"/>
    <xf numFmtId="0" fontId="0" fillId="0" borderId="0" xfId="0" applyAlignment="1">
      <alignment vertical="center" wrapText="1"/>
    </xf>
    <xf numFmtId="166" fontId="0" fillId="23" borderId="0" xfId="0" applyNumberFormat="1" applyFill="1"/>
    <xf numFmtId="0" fontId="0" fillId="0" borderId="0" xfId="0" applyFill="1" applyBorder="1"/>
    <xf numFmtId="9" fontId="0" fillId="0" borderId="0" xfId="2" applyNumberFormat="1" applyFont="1" applyFill="1" applyBorder="1"/>
    <xf numFmtId="166" fontId="0" fillId="0" borderId="0" xfId="1271" applyNumberFormat="1" applyFont="1" applyFill="1" applyBorder="1"/>
    <xf numFmtId="0" fontId="48" fillId="0" borderId="18" xfId="0" applyFont="1" applyBorder="1"/>
    <xf numFmtId="166" fontId="0" fillId="28" borderId="0" xfId="1271" applyNumberFormat="1" applyFont="1" applyFill="1"/>
    <xf numFmtId="181" fontId="0" fillId="25" borderId="0" xfId="1271" applyNumberFormat="1" applyFont="1" applyFill="1" applyBorder="1"/>
    <xf numFmtId="0" fontId="2" fillId="0" borderId="0" xfId="0" applyFont="1" applyAlignment="1">
      <alignment vertical="center"/>
    </xf>
    <xf numFmtId="175" fontId="42" fillId="0" borderId="23" xfId="0" applyNumberFormat="1"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xf>
    <xf numFmtId="9" fontId="0" fillId="0" borderId="2" xfId="0" applyNumberFormat="1" applyBorder="1" applyAlignment="1">
      <alignment horizontal="center"/>
    </xf>
    <xf numFmtId="0" fontId="0" fillId="0" borderId="2" xfId="0" applyBorder="1" applyAlignment="1">
      <alignment horizontal="center" vertical="center"/>
    </xf>
    <xf numFmtId="9" fontId="0" fillId="0" borderId="0" xfId="0" applyNumberFormat="1" applyAlignment="1">
      <alignment vertical="center"/>
    </xf>
    <xf numFmtId="0" fontId="48" fillId="0" borderId="0" xfId="0" applyFont="1" applyAlignment="1">
      <alignment horizontal="center"/>
    </xf>
    <xf numFmtId="0" fontId="0" fillId="0" borderId="2" xfId="0" applyBorder="1"/>
    <xf numFmtId="9" fontId="0" fillId="30" borderId="2" xfId="2" applyFont="1" applyFill="1" applyBorder="1" applyAlignment="1">
      <alignment horizontal="center"/>
    </xf>
    <xf numFmtId="9" fontId="2" fillId="0" borderId="2" xfId="0" applyNumberFormat="1" applyFont="1" applyBorder="1" applyAlignment="1">
      <alignment horizontal="center" vertical="center"/>
    </xf>
    <xf numFmtId="182" fontId="40" fillId="25" borderId="0" xfId="0" applyNumberFormat="1" applyFont="1" applyFill="1" applyAlignment="1" applyProtection="1">
      <alignment vertical="center"/>
      <protection hidden="1"/>
    </xf>
    <xf numFmtId="181" fontId="40" fillId="25" borderId="0" xfId="1" applyNumberFormat="1" applyFont="1" applyFill="1" applyBorder="1" applyAlignment="1" applyProtection="1">
      <alignment vertical="center"/>
      <protection hidden="1"/>
    </xf>
    <xf numFmtId="182" fontId="40" fillId="25" borderId="0" xfId="1" applyNumberFormat="1" applyFont="1" applyFill="1" applyAlignment="1" applyProtection="1">
      <alignment vertical="center"/>
      <protection hidden="1"/>
    </xf>
    <xf numFmtId="164" fontId="0" fillId="0" borderId="0" xfId="1" applyFont="1" applyFill="1" applyBorder="1"/>
    <xf numFmtId="182" fontId="0" fillId="0" borderId="0" xfId="1" applyNumberFormat="1" applyFont="1" applyFill="1" applyBorder="1"/>
    <xf numFmtId="0" fontId="40" fillId="0" borderId="0" xfId="0" applyFont="1"/>
    <xf numFmtId="0" fontId="0" fillId="0" borderId="0" xfId="0" applyFill="1" applyBorder="1" applyAlignment="1">
      <alignment vertical="center"/>
    </xf>
    <xf numFmtId="0" fontId="48" fillId="0" borderId="0" xfId="0" applyFont="1" applyFill="1" applyBorder="1" applyAlignment="1">
      <alignment horizontal="center" vertical="center"/>
    </xf>
    <xf numFmtId="0" fontId="37" fillId="0" borderId="0" xfId="0" applyFont="1" applyAlignment="1" applyProtection="1">
      <alignment vertical="center"/>
    </xf>
    <xf numFmtId="0" fontId="40" fillId="0" borderId="0" xfId="0" applyFont="1" applyAlignment="1" applyProtection="1">
      <alignment vertical="center"/>
    </xf>
    <xf numFmtId="0" fontId="42" fillId="0" borderId="23" xfId="0" applyFont="1" applyBorder="1" applyAlignment="1" applyProtection="1">
      <alignment horizontal="center" vertical="center" wrapText="1"/>
    </xf>
    <xf numFmtId="0" fontId="42" fillId="0" borderId="0" xfId="0" applyFont="1" applyProtection="1"/>
    <xf numFmtId="0" fontId="42" fillId="0" borderId="24" xfId="0" applyFont="1" applyBorder="1" applyAlignment="1" applyProtection="1">
      <alignment horizontal="center" vertical="center" wrapText="1"/>
    </xf>
    <xf numFmtId="0" fontId="42" fillId="0" borderId="0" xfId="0" applyFont="1" applyBorder="1" applyProtection="1"/>
    <xf numFmtId="0" fontId="36" fillId="0" borderId="0" xfId="0" applyFont="1" applyBorder="1" applyAlignment="1" applyProtection="1">
      <alignment vertical="center"/>
    </xf>
    <xf numFmtId="0" fontId="58" fillId="0" borderId="0" xfId="0" applyFont="1" applyBorder="1" applyAlignment="1" applyProtection="1">
      <alignment vertical="center"/>
    </xf>
    <xf numFmtId="0" fontId="36" fillId="0" borderId="25" xfId="0" applyFont="1" applyBorder="1" applyAlignment="1" applyProtection="1">
      <alignment horizontal="center" vertical="center" wrapText="1"/>
    </xf>
    <xf numFmtId="0" fontId="36" fillId="0" borderId="0" xfId="0" applyFont="1" applyAlignment="1" applyProtection="1">
      <alignment vertical="center"/>
    </xf>
    <xf numFmtId="0" fontId="42" fillId="0" borderId="0" xfId="0" applyFont="1" applyAlignment="1" applyProtection="1">
      <alignment vertical="center"/>
    </xf>
    <xf numFmtId="0" fontId="58" fillId="0" borderId="0" xfId="0" applyFont="1" applyFill="1" applyBorder="1" applyAlignment="1" applyProtection="1">
      <alignment horizontal="left" vertical="center"/>
    </xf>
    <xf numFmtId="175" fontId="42" fillId="0" borderId="0" xfId="0" applyNumberFormat="1" applyFont="1" applyBorder="1" applyAlignment="1" applyProtection="1">
      <alignment horizontal="center" vertical="center"/>
    </xf>
    <xf numFmtId="0" fontId="44" fillId="0" borderId="0" xfId="0" applyFont="1" applyAlignment="1" applyProtection="1">
      <alignment vertical="center"/>
    </xf>
    <xf numFmtId="0" fontId="36" fillId="27" borderId="2" xfId="0" applyFont="1" applyFill="1" applyBorder="1" applyAlignment="1" applyProtection="1">
      <alignment horizontal="center" vertical="center" wrapText="1"/>
    </xf>
    <xf numFmtId="0" fontId="56" fillId="0" borderId="0" xfId="0" applyFont="1" applyBorder="1" applyProtection="1"/>
    <xf numFmtId="0" fontId="59" fillId="0" borderId="0" xfId="0" applyFont="1" applyBorder="1" applyAlignment="1" applyProtection="1">
      <alignment horizontal="center" vertical="center"/>
    </xf>
    <xf numFmtId="0" fontId="56" fillId="0" borderId="0" xfId="0" applyFont="1" applyFill="1" applyBorder="1" applyProtection="1"/>
    <xf numFmtId="0" fontId="42" fillId="0" borderId="0" xfId="0" applyFont="1" applyBorder="1" applyAlignment="1" applyProtection="1">
      <alignment vertical="center"/>
    </xf>
    <xf numFmtId="0" fontId="35" fillId="27" borderId="2" xfId="0" applyFont="1" applyFill="1" applyBorder="1" applyAlignment="1" applyProtection="1">
      <alignment horizontal="left" vertical="center" wrapText="1"/>
    </xf>
    <xf numFmtId="0" fontId="40" fillId="0" borderId="24" xfId="0" applyFont="1" applyFill="1" applyBorder="1" applyAlignment="1" applyProtection="1">
      <alignment horizontal="left" vertical="center"/>
    </xf>
    <xf numFmtId="0" fontId="40" fillId="0" borderId="34" xfId="0" applyFont="1" applyFill="1" applyBorder="1" applyAlignment="1" applyProtection="1">
      <alignment horizontal="left" vertical="center"/>
    </xf>
    <xf numFmtId="175" fontId="42" fillId="27" borderId="24" xfId="0" applyNumberFormat="1" applyFont="1" applyFill="1" applyBorder="1" applyAlignment="1">
      <alignment horizontal="center" vertical="center"/>
    </xf>
    <xf numFmtId="3" fontId="42" fillId="27" borderId="23" xfId="0" applyNumberFormat="1" applyFont="1" applyFill="1" applyBorder="1" applyAlignment="1" applyProtection="1">
      <alignment horizontal="center" vertical="center" wrapText="1"/>
    </xf>
    <xf numFmtId="175" fontId="42" fillId="27" borderId="27" xfId="0" applyNumberFormat="1" applyFont="1" applyFill="1" applyBorder="1" applyAlignment="1" applyProtection="1">
      <alignment horizontal="center" vertical="center"/>
    </xf>
    <xf numFmtId="9" fontId="42" fillId="27" borderId="27" xfId="2" applyFont="1" applyFill="1" applyBorder="1" applyAlignment="1" applyProtection="1">
      <alignment horizontal="center" vertical="center"/>
    </xf>
    <xf numFmtId="175" fontId="42" fillId="27" borderId="24" xfId="0" applyNumberFormat="1" applyFont="1" applyFill="1" applyBorder="1" applyAlignment="1" applyProtection="1">
      <alignment horizontal="center" vertical="center"/>
    </xf>
    <xf numFmtId="179" fontId="42" fillId="27" borderId="3" xfId="0" applyNumberFormat="1" applyFont="1" applyFill="1" applyBorder="1" applyAlignment="1">
      <alignment horizontal="center" vertical="center"/>
    </xf>
    <xf numFmtId="0" fontId="67" fillId="0" borderId="0" xfId="0" applyFont="1"/>
    <xf numFmtId="0" fontId="68" fillId="0" borderId="0" xfId="0" applyFont="1" applyAlignment="1">
      <alignment horizontal="center"/>
    </xf>
    <xf numFmtId="0" fontId="37" fillId="0" borderId="0" xfId="0" applyFont="1" applyFill="1" applyBorder="1" applyAlignment="1">
      <alignment horizontal="left" vertical="center"/>
    </xf>
    <xf numFmtId="0" fontId="69" fillId="0" borderId="0" xfId="0" applyFont="1" applyAlignment="1">
      <alignment vertical="center"/>
    </xf>
    <xf numFmtId="175" fontId="69" fillId="0" borderId="0" xfId="0" applyNumberFormat="1" applyFont="1" applyBorder="1" applyAlignment="1">
      <alignment horizontal="center" vertical="center"/>
    </xf>
    <xf numFmtId="0" fontId="58" fillId="0" borderId="0" xfId="0" applyFont="1"/>
    <xf numFmtId="0" fontId="42" fillId="0" borderId="0" xfId="0" applyFont="1" applyFill="1" applyBorder="1" applyAlignment="1">
      <alignment horizontal="left" vertical="center"/>
    </xf>
    <xf numFmtId="0" fontId="56" fillId="0" borderId="0" xfId="0" applyFont="1" applyFill="1" applyBorder="1" applyAlignment="1">
      <alignment horizontal="left" vertical="center"/>
    </xf>
    <xf numFmtId="0" fontId="62" fillId="0" borderId="0" xfId="0" applyFont="1" applyFill="1" applyBorder="1" applyAlignment="1">
      <alignment horizontal="left" vertical="center"/>
    </xf>
    <xf numFmtId="0" fontId="74" fillId="0" borderId="0" xfId="0" applyFont="1" applyFill="1" applyBorder="1" applyAlignment="1" applyProtection="1">
      <alignment horizontal="left" vertical="center"/>
    </xf>
    <xf numFmtId="0" fontId="75" fillId="0" borderId="0" xfId="0" applyFont="1" applyAlignment="1" applyProtection="1">
      <alignment vertical="center"/>
    </xf>
    <xf numFmtId="0" fontId="70" fillId="0" borderId="0" xfId="0" applyFont="1" applyAlignment="1">
      <alignment wrapText="1"/>
    </xf>
    <xf numFmtId="0" fontId="72" fillId="0" borderId="0" xfId="0" applyFont="1" applyBorder="1" applyAlignment="1">
      <alignment horizontal="left"/>
    </xf>
    <xf numFmtId="9" fontId="72" fillId="0" borderId="0" xfId="0" applyNumberFormat="1" applyFont="1" applyBorder="1" applyAlignment="1">
      <alignment horizontal="center"/>
    </xf>
    <xf numFmtId="0" fontId="67" fillId="0" borderId="0" xfId="0" applyFont="1" applyAlignment="1">
      <alignment horizontal="justify"/>
    </xf>
    <xf numFmtId="0" fontId="68" fillId="0" borderId="0" xfId="0" applyFont="1" applyAlignment="1">
      <alignment horizontal="justify"/>
    </xf>
    <xf numFmtId="0" fontId="3" fillId="32" borderId="42" xfId="1273" applyFont="1" applyFill="1" applyBorder="1" applyAlignment="1">
      <alignment horizontal="center" vertical="center" wrapText="1"/>
    </xf>
    <xf numFmtId="0" fontId="3" fillId="23" borderId="43" xfId="1274" applyFont="1" applyFill="1" applyBorder="1" applyAlignment="1">
      <alignment horizontal="right" wrapText="1"/>
    </xf>
    <xf numFmtId="0" fontId="3" fillId="32" borderId="2" xfId="1273" applyFont="1" applyFill="1" applyBorder="1" applyAlignment="1">
      <alignment horizontal="center" vertical="center" wrapText="1"/>
    </xf>
    <xf numFmtId="1" fontId="3" fillId="23" borderId="43" xfId="1274" applyNumberFormat="1" applyFont="1" applyFill="1" applyBorder="1" applyAlignment="1">
      <alignment horizontal="right" wrapText="1"/>
    </xf>
    <xf numFmtId="1" fontId="3" fillId="23" borderId="43" xfId="1276" applyNumberFormat="1" applyFont="1" applyFill="1" applyBorder="1" applyAlignment="1">
      <alignment horizontal="right" wrapText="1"/>
    </xf>
    <xf numFmtId="0" fontId="3" fillId="23" borderId="43" xfId="1275" applyFont="1" applyFill="1" applyBorder="1" applyAlignment="1">
      <alignment horizontal="right" wrapText="1"/>
    </xf>
    <xf numFmtId="2" fontId="3" fillId="23" borderId="43" xfId="1275" applyNumberFormat="1" applyFont="1" applyFill="1" applyBorder="1" applyAlignment="1">
      <alignment horizontal="right" wrapText="1"/>
    </xf>
    <xf numFmtId="0" fontId="3" fillId="32" borderId="42" xfId="1275" applyFont="1" applyFill="1" applyBorder="1" applyAlignment="1">
      <alignment horizontal="center" vertical="center" wrapText="1"/>
    </xf>
    <xf numFmtId="166" fontId="0" fillId="25" borderId="0" xfId="1271" applyNumberFormat="1" applyFont="1" applyFill="1" applyBorder="1"/>
    <xf numFmtId="0" fontId="80" fillId="0" borderId="0" xfId="0" applyFont="1" applyAlignment="1">
      <alignment vertical="center"/>
    </xf>
    <xf numFmtId="0" fontId="0" fillId="0" borderId="44" xfId="0" applyBorder="1"/>
    <xf numFmtId="0" fontId="0" fillId="0" borderId="45" xfId="0" applyBorder="1"/>
    <xf numFmtId="0" fontId="0" fillId="0" borderId="46" xfId="0" applyBorder="1"/>
    <xf numFmtId="0" fontId="0" fillId="0" borderId="47" xfId="0" applyBorder="1"/>
    <xf numFmtId="0" fontId="0" fillId="0" borderId="29" xfId="0" applyBorder="1"/>
    <xf numFmtId="0" fontId="0" fillId="0" borderId="48" xfId="0" applyBorder="1"/>
    <xf numFmtId="0" fontId="0" fillId="0" borderId="28" xfId="0" applyBorder="1"/>
    <xf numFmtId="0" fontId="0" fillId="0" borderId="49" xfId="0" applyBorder="1"/>
    <xf numFmtId="0" fontId="36" fillId="27" borderId="26" xfId="0" applyFont="1" applyFill="1" applyBorder="1" applyAlignment="1" applyProtection="1">
      <alignment horizontal="center" vertical="center"/>
    </xf>
    <xf numFmtId="0" fontId="42" fillId="0" borderId="30" xfId="0" applyFont="1" applyFill="1" applyBorder="1" applyAlignment="1" applyProtection="1">
      <alignment horizontal="center" vertical="center" wrapText="1"/>
    </xf>
    <xf numFmtId="0" fontId="42" fillId="0" borderId="31" xfId="0" applyFont="1" applyFill="1" applyBorder="1" applyAlignment="1" applyProtection="1">
      <alignment horizontal="center" vertical="center" wrapText="1"/>
    </xf>
    <xf numFmtId="175" fontId="42" fillId="27" borderId="27" xfId="0" applyNumberFormat="1" applyFont="1" applyFill="1" applyBorder="1" applyAlignment="1">
      <alignment horizontal="center" vertical="center"/>
    </xf>
    <xf numFmtId="175" fontId="42" fillId="27" borderId="25" xfId="0" applyNumberFormat="1" applyFont="1" applyFill="1" applyBorder="1" applyAlignment="1">
      <alignment horizontal="center" vertical="center"/>
    </xf>
    <xf numFmtId="0" fontId="47" fillId="0" borderId="47" xfId="0" applyFont="1" applyFill="1" applyBorder="1" applyAlignment="1">
      <alignment horizontal="center"/>
    </xf>
    <xf numFmtId="0" fontId="47" fillId="0" borderId="0" xfId="0" applyFont="1" applyFill="1" applyBorder="1" applyAlignment="1">
      <alignment horizontal="center"/>
    </xf>
    <xf numFmtId="0" fontId="61" fillId="0" borderId="0" xfId="0" applyFont="1" applyFill="1" applyBorder="1" applyAlignment="1">
      <alignment horizontal="center"/>
    </xf>
    <xf numFmtId="0" fontId="51" fillId="0" borderId="0" xfId="0" applyFont="1" applyFill="1" applyBorder="1" applyAlignment="1">
      <alignment horizontal="center"/>
    </xf>
    <xf numFmtId="166" fontId="0" fillId="28" borderId="0" xfId="1271" applyNumberFormat="1" applyFont="1" applyFill="1" applyBorder="1"/>
    <xf numFmtId="183" fontId="0" fillId="28" borderId="0" xfId="2" applyNumberFormat="1" applyFont="1" applyFill="1" applyBorder="1"/>
    <xf numFmtId="0" fontId="0" fillId="0" borderId="47" xfId="0" applyBorder="1" applyAlignment="1">
      <alignment vertical="center" wrapText="1"/>
    </xf>
    <xf numFmtId="0" fontId="48" fillId="0" borderId="47" xfId="0" applyFont="1" applyBorder="1"/>
    <xf numFmtId="2" fontId="0" fillId="25" borderId="0" xfId="0" applyNumberFormat="1" applyFill="1" applyBorder="1"/>
    <xf numFmtId="0" fontId="61" fillId="0" borderId="0" xfId="0" applyFont="1" applyFill="1" applyBorder="1"/>
    <xf numFmtId="0" fontId="51" fillId="0" borderId="0" xfId="0" applyFont="1" applyFill="1" applyBorder="1"/>
    <xf numFmtId="184" fontId="0" fillId="0" borderId="0" xfId="1271" applyNumberFormat="1" applyFont="1" applyFill="1" applyBorder="1"/>
    <xf numFmtId="0" fontId="0" fillId="0" borderId="47" xfId="0" applyFill="1" applyBorder="1"/>
    <xf numFmtId="176" fontId="0" fillId="0" borderId="0" xfId="0" applyNumberFormat="1" applyFill="1" applyBorder="1"/>
    <xf numFmtId="166" fontId="48" fillId="0" borderId="0" xfId="1271" applyNumberFormat="1" applyFont="1" applyFill="1" applyBorder="1"/>
    <xf numFmtId="166" fontId="0" fillId="0" borderId="0" xfId="1271" applyNumberFormat="1" applyFont="1" applyBorder="1"/>
    <xf numFmtId="0" fontId="0" fillId="0" borderId="51" xfId="0" applyFill="1" applyBorder="1"/>
    <xf numFmtId="175" fontId="0" fillId="28" borderId="0" xfId="0" applyNumberFormat="1" applyFill="1" applyAlignment="1">
      <alignment horizontal="center" vertical="center"/>
    </xf>
    <xf numFmtId="0" fontId="36" fillId="0" borderId="0" xfId="0" applyFont="1" applyFill="1" applyBorder="1" applyAlignment="1">
      <alignment horizontal="center" vertical="center"/>
    </xf>
    <xf numFmtId="0" fontId="40" fillId="0" borderId="0" xfId="0" applyFont="1" applyProtection="1"/>
    <xf numFmtId="0" fontId="74" fillId="0" borderId="0" xfId="0" applyFont="1" applyAlignment="1">
      <alignment horizontal="center"/>
    </xf>
    <xf numFmtId="0" fontId="81" fillId="0" borderId="0" xfId="0" applyFont="1" applyBorder="1" applyAlignment="1">
      <alignment horizontal="center" wrapText="1"/>
    </xf>
    <xf numFmtId="0" fontId="82" fillId="0" borderId="0" xfId="0" applyFont="1" applyBorder="1" applyAlignment="1">
      <alignment horizontal="center" wrapText="1"/>
    </xf>
    <xf numFmtId="0" fontId="82" fillId="0" borderId="0" xfId="0" applyFont="1" applyBorder="1" applyAlignment="1">
      <alignment horizontal="left" wrapText="1"/>
    </xf>
    <xf numFmtId="9" fontId="82" fillId="0" borderId="0" xfId="0" applyNumberFormat="1" applyFont="1" applyBorder="1" applyAlignment="1">
      <alignment horizontal="center" wrapText="1"/>
    </xf>
    <xf numFmtId="0" fontId="35" fillId="0" borderId="0" xfId="0" applyFont="1" applyProtection="1"/>
    <xf numFmtId="0" fontId="40" fillId="0" borderId="2" xfId="0" applyFont="1" applyBorder="1" applyProtection="1"/>
    <xf numFmtId="0" fontId="40" fillId="0" borderId="2" xfId="0" applyFont="1" applyBorder="1" applyAlignment="1" applyProtection="1">
      <alignment vertical="center"/>
    </xf>
    <xf numFmtId="0" fontId="41" fillId="24" borderId="2" xfId="0" applyFont="1" applyFill="1" applyBorder="1" applyProtection="1"/>
    <xf numFmtId="0" fontId="40" fillId="23" borderId="2" xfId="0" applyFont="1" applyFill="1" applyBorder="1" applyProtection="1"/>
    <xf numFmtId="178" fontId="40" fillId="23" borderId="2" xfId="0" applyNumberFormat="1" applyFont="1" applyFill="1" applyBorder="1" applyProtection="1"/>
    <xf numFmtId="0" fontId="41" fillId="24" borderId="0" xfId="0" applyFont="1" applyFill="1" applyProtection="1"/>
    <xf numFmtId="0" fontId="40" fillId="0" borderId="2" xfId="0" applyFont="1" applyBorder="1" applyAlignment="1" applyProtection="1">
      <alignment wrapText="1"/>
    </xf>
    <xf numFmtId="0" fontId="40" fillId="23" borderId="2" xfId="0" applyFont="1" applyFill="1" applyBorder="1" applyAlignment="1" applyProtection="1">
      <alignment horizontal="center" vertical="center"/>
    </xf>
    <xf numFmtId="0" fontId="42" fillId="31" borderId="2" xfId="0" applyFont="1" applyFill="1" applyBorder="1" applyAlignment="1">
      <alignment horizontal="center" vertical="center" wrapText="1"/>
    </xf>
    <xf numFmtId="0" fontId="36" fillId="27" borderId="30" xfId="0" applyFont="1" applyFill="1" applyBorder="1" applyAlignment="1" applyProtection="1">
      <alignment vertical="center"/>
    </xf>
    <xf numFmtId="0" fontId="36" fillId="27" borderId="35" xfId="0" applyFont="1" applyFill="1" applyBorder="1" applyAlignment="1" applyProtection="1">
      <alignment vertical="center"/>
    </xf>
    <xf numFmtId="0" fontId="36" fillId="27" borderId="31" xfId="0" applyFont="1" applyFill="1" applyBorder="1" applyAlignment="1" applyProtection="1">
      <alignment vertical="center"/>
    </xf>
    <xf numFmtId="0" fontId="36" fillId="27" borderId="40" xfId="0" applyFont="1" applyFill="1" applyBorder="1" applyAlignment="1" applyProtection="1">
      <alignment vertical="center"/>
    </xf>
    <xf numFmtId="0" fontId="36" fillId="27" borderId="32" xfId="0" applyFont="1" applyFill="1" applyBorder="1" applyAlignment="1" applyProtection="1">
      <alignment vertical="center"/>
    </xf>
    <xf numFmtId="0" fontId="36" fillId="27" borderId="37" xfId="0" applyFont="1" applyFill="1" applyBorder="1" applyAlignment="1" applyProtection="1">
      <alignment vertical="center"/>
    </xf>
    <xf numFmtId="175" fontId="42" fillId="0" borderId="24" xfId="0" applyNumberFormat="1" applyFont="1" applyBorder="1" applyAlignment="1" applyProtection="1">
      <alignment horizontal="center" vertical="center"/>
    </xf>
    <xf numFmtId="175" fontId="42" fillId="0" borderId="25" xfId="0" applyNumberFormat="1" applyFont="1" applyBorder="1" applyAlignment="1" applyProtection="1">
      <alignment horizontal="center" vertical="center"/>
    </xf>
    <xf numFmtId="0" fontId="0" fillId="25" borderId="18" xfId="1271" applyNumberFormat="1" applyFont="1" applyFill="1" applyBorder="1"/>
    <xf numFmtId="0" fontId="42" fillId="0" borderId="27" xfId="0" quotePrefix="1" applyFont="1" applyBorder="1" applyAlignment="1">
      <alignment horizontal="center" vertical="center"/>
    </xf>
    <xf numFmtId="0" fontId="84" fillId="31" borderId="2" xfId="0" applyFont="1" applyFill="1" applyBorder="1" applyAlignment="1">
      <alignment horizontal="left" vertical="center" wrapText="1"/>
    </xf>
    <xf numFmtId="0" fontId="83" fillId="31" borderId="2" xfId="0" applyFont="1" applyFill="1" applyBorder="1" applyAlignment="1">
      <alignment horizontal="center" vertical="center"/>
    </xf>
    <xf numFmtId="0" fontId="0" fillId="0" borderId="0" xfId="0" applyProtection="1"/>
    <xf numFmtId="0" fontId="65" fillId="0" borderId="0" xfId="0" applyFont="1" applyProtection="1"/>
    <xf numFmtId="0" fontId="64" fillId="0" borderId="0" xfId="0" applyFont="1" applyProtection="1"/>
    <xf numFmtId="0" fontId="66" fillId="0" borderId="0" xfId="0" applyFont="1" applyProtection="1"/>
    <xf numFmtId="0" fontId="0" fillId="0" borderId="0" xfId="0" applyFill="1" applyProtection="1"/>
    <xf numFmtId="0" fontId="66" fillId="0" borderId="0" xfId="0" applyFont="1" applyFill="1" applyProtection="1"/>
    <xf numFmtId="0" fontId="63" fillId="27" borderId="2" xfId="0" applyFont="1" applyFill="1" applyBorder="1" applyAlignment="1" applyProtection="1">
      <alignment horizontal="left" vertical="center" wrapText="1"/>
    </xf>
    <xf numFmtId="0" fontId="42" fillId="0" borderId="2" xfId="0" applyFont="1" applyFill="1" applyBorder="1" applyAlignment="1" applyProtection="1">
      <alignment horizontal="center" vertical="center"/>
    </xf>
    <xf numFmtId="0" fontId="42" fillId="0" borderId="2" xfId="0" applyFont="1" applyBorder="1" applyAlignment="1" applyProtection="1">
      <alignment horizontal="center" vertical="center" wrapText="1"/>
    </xf>
    <xf numFmtId="0" fontId="36" fillId="27" borderId="0" xfId="0" applyFont="1" applyFill="1" applyBorder="1" applyAlignment="1" applyProtection="1">
      <alignment vertical="center"/>
    </xf>
    <xf numFmtId="0" fontId="0" fillId="0" borderId="0" xfId="0" applyAlignment="1" applyProtection="1">
      <alignment vertical="center"/>
    </xf>
    <xf numFmtId="0" fontId="4" fillId="0" borderId="0" xfId="0" applyFont="1" applyFill="1" applyBorder="1" applyAlignment="1" applyProtection="1">
      <alignment horizontal="center" vertical="center" wrapText="1"/>
    </xf>
    <xf numFmtId="166" fontId="4" fillId="0" borderId="0" xfId="1" applyNumberFormat="1" applyFont="1" applyFill="1" applyBorder="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xf>
    <xf numFmtId="0" fontId="2" fillId="0" borderId="0" xfId="0" applyFont="1" applyFill="1" applyBorder="1" applyProtection="1"/>
    <xf numFmtId="0" fontId="2" fillId="0" borderId="0" xfId="0" applyFont="1" applyFill="1" applyBorder="1" applyAlignment="1" applyProtection="1">
      <alignment horizontal="center" vertical="center"/>
    </xf>
    <xf numFmtId="0" fontId="0" fillId="0" borderId="0" xfId="0" applyBorder="1" applyProtection="1"/>
    <xf numFmtId="3" fontId="2" fillId="0" borderId="0" xfId="1" applyNumberFormat="1"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0" xfId="0" applyFont="1" applyBorder="1" applyProtection="1"/>
    <xf numFmtId="0" fontId="2" fillId="0" borderId="0" xfId="0" applyFont="1" applyProtection="1"/>
    <xf numFmtId="0" fontId="36" fillId="27" borderId="26" xfId="0" applyFont="1" applyFill="1" applyBorder="1" applyAlignment="1" applyProtection="1">
      <alignment horizontal="center" vertical="center" wrapText="1"/>
    </xf>
    <xf numFmtId="9" fontId="42" fillId="27" borderId="24" xfId="2" applyFont="1" applyFill="1" applyBorder="1" applyAlignment="1" applyProtection="1">
      <alignment horizontal="center" vertical="center"/>
    </xf>
    <xf numFmtId="2" fontId="0" fillId="25" borderId="0" xfId="1" applyNumberFormat="1" applyFont="1" applyFill="1" applyBorder="1"/>
    <xf numFmtId="0" fontId="42" fillId="0" borderId="27" xfId="0" applyFont="1" applyFill="1" applyBorder="1" applyAlignment="1" applyProtection="1">
      <alignment vertical="center"/>
    </xf>
    <xf numFmtId="0" fontId="36" fillId="27" borderId="26" xfId="0" applyFont="1" applyFill="1" applyBorder="1" applyAlignment="1">
      <alignment vertical="center"/>
    </xf>
    <xf numFmtId="0" fontId="40" fillId="0" borderId="0" xfId="0" applyFont="1" applyAlignment="1">
      <alignment horizontal="center"/>
    </xf>
    <xf numFmtId="0" fontId="88" fillId="0" borderId="0" xfId="0" applyFont="1" applyAlignment="1">
      <alignment wrapText="1"/>
    </xf>
    <xf numFmtId="0" fontId="40" fillId="0" borderId="0" xfId="0" applyFont="1" applyAlignment="1">
      <alignment horizontal="center" vertical="center"/>
    </xf>
    <xf numFmtId="0" fontId="84" fillId="0" borderId="23" xfId="0" applyFont="1" applyBorder="1" applyAlignment="1">
      <alignment horizontal="left" vertical="center" wrapText="1"/>
    </xf>
    <xf numFmtId="9" fontId="84" fillId="0" borderId="23" xfId="0" applyNumberFormat="1" applyFont="1" applyBorder="1" applyAlignment="1">
      <alignment horizontal="center" vertical="center"/>
    </xf>
    <xf numFmtId="0" fontId="84" fillId="0" borderId="24" xfId="0" applyFont="1" applyBorder="1" applyAlignment="1">
      <alignment horizontal="left" vertical="center" wrapText="1"/>
    </xf>
    <xf numFmtId="0" fontId="84" fillId="0" borderId="24" xfId="0" applyFont="1" applyBorder="1" applyAlignment="1">
      <alignment horizontal="center" vertical="center"/>
    </xf>
    <xf numFmtId="0" fontId="84" fillId="0" borderId="25" xfId="0" applyFont="1" applyBorder="1" applyAlignment="1">
      <alignment horizontal="left" vertical="center" wrapText="1"/>
    </xf>
    <xf numFmtId="0" fontId="84" fillId="0" borderId="25" xfId="0" applyFont="1" applyBorder="1" applyAlignment="1">
      <alignment horizontal="center" vertical="center"/>
    </xf>
    <xf numFmtId="0" fontId="42" fillId="34" borderId="27" xfId="0" applyFont="1" applyFill="1" applyBorder="1" applyAlignment="1">
      <alignment horizontal="center" vertical="center"/>
    </xf>
    <xf numFmtId="175" fontId="42" fillId="34" borderId="27" xfId="0" applyNumberFormat="1" applyFont="1" applyFill="1" applyBorder="1" applyAlignment="1" applyProtection="1">
      <alignment horizontal="center" vertical="center"/>
    </xf>
    <xf numFmtId="0" fontId="42" fillId="34" borderId="24" xfId="0" applyFont="1" applyFill="1" applyBorder="1" applyAlignment="1">
      <alignment horizontal="center" vertical="center"/>
    </xf>
    <xf numFmtId="175" fontId="42" fillId="34" borderId="24" xfId="0" applyNumberFormat="1" applyFont="1" applyFill="1" applyBorder="1" applyAlignment="1" applyProtection="1">
      <alignment horizontal="center" vertical="center"/>
    </xf>
    <xf numFmtId="0" fontId="42" fillId="0" borderId="0" xfId="0" applyFont="1" applyAlignment="1">
      <alignment vertical="center"/>
    </xf>
    <xf numFmtId="0" fontId="58" fillId="0" borderId="0" xfId="0" applyFont="1" applyFill="1" applyBorder="1" applyAlignment="1">
      <alignment horizontal="left" vertical="center"/>
    </xf>
    <xf numFmtId="0" fontId="89" fillId="0" borderId="0" xfId="0" applyFont="1" applyAlignment="1">
      <alignment wrapText="1"/>
    </xf>
    <xf numFmtId="0" fontId="42" fillId="0" borderId="23" xfId="0" applyFont="1" applyBorder="1" applyAlignment="1">
      <alignment horizontal="left" vertical="center"/>
    </xf>
    <xf numFmtId="0" fontId="42" fillId="0" borderId="24" xfId="0" applyFont="1" applyBorder="1" applyAlignment="1">
      <alignment horizontal="left" vertical="center"/>
    </xf>
    <xf numFmtId="9" fontId="42" fillId="0" borderId="24" xfId="0" applyNumberFormat="1" applyFont="1" applyBorder="1" applyAlignment="1">
      <alignment horizontal="center" vertical="center"/>
    </xf>
    <xf numFmtId="0" fontId="42" fillId="0" borderId="25" xfId="0" applyFont="1" applyBorder="1" applyAlignment="1">
      <alignment horizontal="left" vertical="center"/>
    </xf>
    <xf numFmtId="9" fontId="42" fillId="0" borderId="25" xfId="0" applyNumberFormat="1" applyFont="1" applyBorder="1" applyAlignment="1">
      <alignment horizontal="center" vertical="center"/>
    </xf>
    <xf numFmtId="0" fontId="84" fillId="0" borderId="25" xfId="0" applyFont="1" applyBorder="1" applyAlignment="1">
      <alignment horizontal="center" vertical="center" wrapText="1"/>
    </xf>
    <xf numFmtId="0" fontId="42" fillId="0" borderId="23" xfId="0" applyFont="1" applyBorder="1" applyAlignment="1">
      <alignment horizontal="left" vertical="center" wrapText="1"/>
    </xf>
    <xf numFmtId="0" fontId="42" fillId="0" borderId="25" xfId="0" applyFont="1" applyBorder="1" applyAlignment="1">
      <alignment horizontal="left" vertical="center" wrapText="1"/>
    </xf>
    <xf numFmtId="0" fontId="42" fillId="0" borderId="24" xfId="0" applyFont="1" applyBorder="1" applyAlignment="1">
      <alignment horizontal="left" vertical="center" wrapText="1"/>
    </xf>
    <xf numFmtId="0" fontId="36" fillId="0" borderId="2" xfId="0" applyFont="1" applyBorder="1" applyAlignment="1" applyProtection="1">
      <alignment horizontal="center" vertical="center" wrapText="1"/>
    </xf>
    <xf numFmtId="0" fontId="36" fillId="0" borderId="0" xfId="0" applyFont="1" applyBorder="1" applyAlignment="1" applyProtection="1">
      <alignment horizontal="center" vertical="center"/>
    </xf>
    <xf numFmtId="3" fontId="42" fillId="0" borderId="0" xfId="1" applyNumberFormat="1" applyFont="1" applyBorder="1" applyAlignment="1" applyProtection="1">
      <alignment horizontal="center" vertical="center" wrapText="1"/>
    </xf>
    <xf numFmtId="0" fontId="42" fillId="0" borderId="2" xfId="0" applyFont="1" applyBorder="1" applyAlignment="1" applyProtection="1">
      <alignment horizontal="center" vertical="center"/>
    </xf>
    <xf numFmtId="0" fontId="36" fillId="27" borderId="2" xfId="0" applyFont="1" applyFill="1" applyBorder="1" applyAlignment="1" applyProtection="1">
      <alignment horizontal="center" vertical="center"/>
    </xf>
    <xf numFmtId="0" fontId="36" fillId="27" borderId="22" xfId="0" applyFont="1" applyFill="1" applyBorder="1" applyAlignment="1" applyProtection="1">
      <alignment horizontal="center" vertical="center" wrapText="1"/>
    </xf>
    <xf numFmtId="0" fontId="36" fillId="27" borderId="22" xfId="0" applyFont="1" applyFill="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5" xfId="0" applyFont="1" applyBorder="1" applyAlignment="1" applyProtection="1">
      <alignment horizontal="center" vertical="center"/>
    </xf>
    <xf numFmtId="166" fontId="36" fillId="0" borderId="23" xfId="1" applyNumberFormat="1" applyFont="1" applyFill="1" applyBorder="1" applyAlignment="1" applyProtection="1">
      <alignment horizontal="center" vertical="center" wrapText="1"/>
    </xf>
    <xf numFmtId="177" fontId="42" fillId="0" borderId="23" xfId="1" applyNumberFormat="1" applyFont="1" applyFill="1" applyBorder="1" applyAlignment="1" applyProtection="1">
      <alignment horizontal="center" vertical="center" wrapText="1"/>
    </xf>
    <xf numFmtId="3" fontId="42" fillId="0" borderId="23" xfId="1" applyNumberFormat="1" applyFont="1" applyFill="1" applyBorder="1" applyAlignment="1" applyProtection="1">
      <alignment horizontal="center" vertical="center" wrapText="1"/>
    </xf>
    <xf numFmtId="165" fontId="42" fillId="0" borderId="23" xfId="1" applyNumberFormat="1" applyFont="1" applyFill="1" applyBorder="1" applyAlignment="1" applyProtection="1">
      <alignment horizontal="center" vertical="center" wrapText="1"/>
    </xf>
    <xf numFmtId="166" fontId="36" fillId="0" borderId="24" xfId="1" applyNumberFormat="1" applyFont="1" applyFill="1" applyBorder="1" applyAlignment="1" applyProtection="1">
      <alignment horizontal="center" vertical="center" wrapText="1"/>
    </xf>
    <xf numFmtId="177" fontId="42" fillId="0" borderId="24" xfId="1" applyNumberFormat="1" applyFont="1" applyFill="1" applyBorder="1" applyAlignment="1" applyProtection="1">
      <alignment horizontal="center" vertical="center" wrapText="1"/>
    </xf>
    <xf numFmtId="3" fontId="42" fillId="0" borderId="24" xfId="1" applyNumberFormat="1" applyFont="1" applyFill="1" applyBorder="1" applyAlignment="1" applyProtection="1">
      <alignment horizontal="center" vertical="center" wrapText="1"/>
    </xf>
    <xf numFmtId="165" fontId="42" fillId="0" borderId="24" xfId="1" applyNumberFormat="1" applyFont="1" applyFill="1" applyBorder="1" applyAlignment="1" applyProtection="1">
      <alignment horizontal="center" vertical="center" wrapText="1"/>
    </xf>
    <xf numFmtId="165" fontId="42" fillId="0" borderId="24" xfId="0" applyNumberFormat="1" applyFont="1" applyFill="1" applyBorder="1" applyAlignment="1" applyProtection="1">
      <alignment horizontal="center" vertical="center"/>
    </xf>
    <xf numFmtId="175" fontId="42" fillId="0" borderId="24" xfId="1" applyNumberFormat="1" applyFont="1" applyFill="1" applyBorder="1" applyAlignment="1" applyProtection="1">
      <alignment horizontal="center" vertical="center" wrapText="1"/>
    </xf>
    <xf numFmtId="165" fontId="56" fillId="0" borderId="24" xfId="0" applyNumberFormat="1" applyFont="1" applyFill="1" applyBorder="1" applyAlignment="1" applyProtection="1">
      <alignment horizontal="center" vertical="center"/>
    </xf>
    <xf numFmtId="165" fontId="56" fillId="0" borderId="24" xfId="1" applyNumberFormat="1" applyFont="1" applyFill="1" applyBorder="1" applyAlignment="1" applyProtection="1">
      <alignment horizontal="center" vertical="center" wrapText="1"/>
    </xf>
    <xf numFmtId="166" fontId="36" fillId="0" borderId="25" xfId="1" applyNumberFormat="1" applyFont="1" applyFill="1" applyBorder="1" applyAlignment="1" applyProtection="1">
      <alignment horizontal="center" vertical="center" wrapText="1"/>
    </xf>
    <xf numFmtId="177" fontId="42" fillId="0" borderId="25" xfId="1" applyNumberFormat="1" applyFont="1" applyFill="1" applyBorder="1" applyAlignment="1" applyProtection="1">
      <alignment horizontal="center" vertical="center" wrapText="1"/>
    </xf>
    <xf numFmtId="3" fontId="42" fillId="0" borderId="25" xfId="1" applyNumberFormat="1" applyFont="1" applyFill="1" applyBorder="1" applyAlignment="1" applyProtection="1">
      <alignment horizontal="center" vertical="center" wrapText="1"/>
    </xf>
    <xf numFmtId="165" fontId="42" fillId="0" borderId="25" xfId="0" applyNumberFormat="1" applyFont="1" applyFill="1" applyBorder="1" applyAlignment="1" applyProtection="1">
      <alignment horizontal="center" vertical="center"/>
    </xf>
    <xf numFmtId="175" fontId="42" fillId="0" borderId="25" xfId="1" applyNumberFormat="1" applyFont="1" applyFill="1" applyBorder="1" applyAlignment="1" applyProtection="1">
      <alignment horizontal="center" vertical="center" wrapText="1"/>
    </xf>
    <xf numFmtId="0" fontId="59" fillId="0" borderId="0" xfId="0" applyFont="1" applyAlignment="1" applyProtection="1">
      <alignment vertical="center"/>
    </xf>
    <xf numFmtId="0" fontId="91" fillId="0" borderId="0" xfId="0" applyFont="1" applyProtection="1"/>
    <xf numFmtId="0" fontId="92" fillId="0" borderId="0" xfId="0" applyFont="1" applyAlignment="1" applyProtection="1">
      <alignment vertical="center"/>
    </xf>
    <xf numFmtId="0" fontId="44" fillId="20" borderId="0" xfId="0" applyFont="1" applyFill="1" applyAlignment="1" applyProtection="1">
      <alignment vertical="center"/>
    </xf>
    <xf numFmtId="0" fontId="44" fillId="0" borderId="0" xfId="0" applyFont="1" applyFill="1" applyAlignment="1" applyProtection="1">
      <alignment vertical="center"/>
    </xf>
    <xf numFmtId="0" fontId="36" fillId="27" borderId="2" xfId="0" applyFont="1" applyFill="1" applyBorder="1" applyAlignment="1" applyProtection="1">
      <alignment horizontal="left" vertical="center"/>
    </xf>
    <xf numFmtId="0" fontId="42" fillId="0" borderId="0" xfId="0" applyFont="1" applyAlignment="1" applyProtection="1">
      <alignment horizontal="left" vertical="center" wrapText="1"/>
    </xf>
    <xf numFmtId="0" fontId="59" fillId="27" borderId="2" xfId="0" applyFont="1" applyFill="1" applyBorder="1" applyAlignment="1" applyProtection="1">
      <alignment horizontal="left" vertical="center"/>
    </xf>
    <xf numFmtId="0" fontId="42" fillId="0" borderId="24" xfId="0" applyFont="1" applyFill="1" applyBorder="1" applyAlignment="1" applyProtection="1">
      <alignment horizontal="center" vertical="center"/>
    </xf>
    <xf numFmtId="0" fontId="36" fillId="0" borderId="24" xfId="0" applyFont="1" applyBorder="1" applyAlignment="1" applyProtection="1">
      <alignment vertical="center" wrapText="1"/>
    </xf>
    <xf numFmtId="0" fontId="36" fillId="0" borderId="25" xfId="0" applyFont="1" applyBorder="1" applyAlignment="1" applyProtection="1">
      <alignment vertical="center" wrapText="1"/>
    </xf>
    <xf numFmtId="0" fontId="42" fillId="0" borderId="0" xfId="0" applyFont="1" applyFill="1" applyProtection="1"/>
    <xf numFmtId="0" fontId="42" fillId="0" borderId="0" xfId="0" applyFont="1" applyFill="1" applyBorder="1" applyAlignment="1" applyProtection="1">
      <alignment horizontal="center" wrapText="1"/>
    </xf>
    <xf numFmtId="0" fontId="42" fillId="0" borderId="0" xfId="0" applyFont="1" applyFill="1" applyBorder="1" applyAlignment="1" applyProtection="1">
      <alignment vertical="center"/>
    </xf>
    <xf numFmtId="0" fontId="59" fillId="27" borderId="2" xfId="0" applyFont="1" applyFill="1" applyBorder="1" applyAlignment="1" applyProtection="1">
      <alignment horizontal="center" vertical="center" wrapText="1"/>
    </xf>
    <xf numFmtId="0" fontId="36" fillId="0" borderId="27" xfId="0" applyFont="1" applyFill="1" applyBorder="1" applyAlignment="1" applyProtection="1">
      <alignment vertical="center" wrapText="1"/>
    </xf>
    <xf numFmtId="3" fontId="42" fillId="0" borderId="23" xfId="0" applyNumberFormat="1" applyFont="1" applyBorder="1" applyAlignment="1" applyProtection="1">
      <alignment horizontal="center" vertical="center"/>
    </xf>
    <xf numFmtId="3" fontId="42" fillId="0" borderId="27" xfId="0" applyNumberFormat="1" applyFont="1" applyBorder="1" applyAlignment="1" applyProtection="1">
      <alignment horizontal="center" vertical="center"/>
    </xf>
    <xf numFmtId="0" fontId="36" fillId="0" borderId="25" xfId="0" applyFont="1" applyFill="1" applyBorder="1" applyAlignment="1" applyProtection="1">
      <alignment vertical="center" wrapText="1"/>
    </xf>
    <xf numFmtId="3" fontId="42" fillId="0" borderId="3" xfId="0" applyNumberFormat="1" applyFont="1" applyBorder="1" applyAlignment="1" applyProtection="1">
      <alignment horizontal="center" vertical="center"/>
    </xf>
    <xf numFmtId="3" fontId="42" fillId="0" borderId="25" xfId="0" applyNumberFormat="1" applyFont="1" applyBorder="1" applyAlignment="1" applyProtection="1">
      <alignment horizontal="center" vertical="center"/>
    </xf>
    <xf numFmtId="0" fontId="36" fillId="0" borderId="0" xfId="0" applyFont="1" applyFill="1" applyBorder="1" applyAlignment="1" applyProtection="1">
      <alignment horizontal="left" vertical="center" wrapText="1"/>
    </xf>
    <xf numFmtId="0" fontId="42" fillId="0" borderId="27" xfId="0" applyFont="1" applyFill="1" applyBorder="1" applyAlignment="1" applyProtection="1">
      <alignment horizontal="center" vertical="center"/>
    </xf>
    <xf numFmtId="3" fontId="42" fillId="0" borderId="27" xfId="0" applyNumberFormat="1" applyFont="1" applyFill="1" applyBorder="1" applyAlignment="1" applyProtection="1">
      <alignment horizontal="center" vertical="center"/>
      <protection locked="0"/>
    </xf>
    <xf numFmtId="0" fontId="42" fillId="0" borderId="24" xfId="0" applyFont="1" applyFill="1" applyBorder="1" applyAlignment="1" applyProtection="1">
      <alignment vertical="center"/>
    </xf>
    <xf numFmtId="3" fontId="42" fillId="0" borderId="24" xfId="0" applyNumberFormat="1" applyFont="1" applyFill="1" applyBorder="1" applyAlignment="1" applyProtection="1">
      <alignment horizontal="center" vertical="center"/>
      <protection locked="0"/>
    </xf>
    <xf numFmtId="0" fontId="42" fillId="0" borderId="25" xfId="0" applyFont="1" applyFill="1" applyBorder="1" applyAlignment="1" applyProtection="1">
      <alignment vertical="center"/>
    </xf>
    <xf numFmtId="0" fontId="79" fillId="0" borderId="27" xfId="0" applyFont="1" applyFill="1" applyBorder="1" applyAlignment="1" applyProtection="1">
      <alignment horizontal="center" vertical="center" wrapText="1"/>
    </xf>
    <xf numFmtId="49" fontId="42" fillId="0" borderId="27" xfId="0" applyNumberFormat="1" applyFont="1" applyFill="1" applyBorder="1" applyAlignment="1" applyProtection="1">
      <alignment horizontal="center" vertical="center"/>
      <protection locked="0"/>
    </xf>
    <xf numFmtId="0" fontId="79" fillId="0" borderId="24" xfId="0" applyFont="1" applyFill="1" applyBorder="1" applyAlignment="1" applyProtection="1">
      <alignment horizontal="center" vertical="center" wrapText="1"/>
    </xf>
    <xf numFmtId="0" fontId="91" fillId="0" borderId="0" xfId="0" applyFont="1" applyAlignment="1" applyProtection="1">
      <alignment vertical="center"/>
    </xf>
    <xf numFmtId="0" fontId="79" fillId="0" borderId="24" xfId="0" applyFont="1" applyFill="1" applyBorder="1" applyAlignment="1" applyProtection="1">
      <alignment horizontal="center" vertical="center"/>
    </xf>
    <xf numFmtId="0" fontId="79" fillId="0" borderId="34" xfId="0" applyFont="1" applyFill="1" applyBorder="1" applyAlignment="1" applyProtection="1">
      <alignment horizontal="center" vertical="center"/>
    </xf>
    <xf numFmtId="3" fontId="42" fillId="0" borderId="34" xfId="0" applyNumberFormat="1" applyFont="1" applyFill="1" applyBorder="1" applyAlignment="1" applyProtection="1">
      <alignment horizontal="center" vertical="center"/>
      <protection locked="0"/>
    </xf>
    <xf numFmtId="0" fontId="36" fillId="27" borderId="2" xfId="0" applyFont="1" applyFill="1" applyBorder="1" applyAlignment="1" applyProtection="1">
      <alignment horizontal="left" vertical="center" wrapText="1"/>
    </xf>
    <xf numFmtId="0" fontId="42" fillId="0" borderId="24" xfId="0" applyFont="1" applyBorder="1" applyAlignment="1" applyProtection="1">
      <alignment horizontal="center" vertical="center"/>
      <protection locked="0"/>
    </xf>
    <xf numFmtId="0" fontId="79" fillId="0" borderId="27" xfId="0" applyFont="1" applyBorder="1" applyAlignment="1" applyProtection="1">
      <alignment horizontal="center" vertical="center"/>
    </xf>
    <xf numFmtId="0" fontId="42" fillId="0" borderId="27" xfId="0" applyFont="1" applyBorder="1" applyAlignment="1" applyProtection="1">
      <alignment horizontal="center" vertical="center"/>
    </xf>
    <xf numFmtId="9" fontId="42" fillId="0" borderId="24" xfId="2" applyFont="1" applyFill="1" applyBorder="1" applyAlignment="1" applyProtection="1">
      <alignment horizontal="center" vertical="center"/>
      <protection locked="0"/>
    </xf>
    <xf numFmtId="9" fontId="42" fillId="0" borderId="25" xfId="2" applyFont="1" applyFill="1" applyBorder="1" applyAlignment="1" applyProtection="1">
      <alignment horizontal="center" vertical="center"/>
      <protection locked="0"/>
    </xf>
    <xf numFmtId="3" fontId="42" fillId="20" borderId="24" xfId="0" applyNumberFormat="1" applyFont="1" applyFill="1" applyBorder="1" applyAlignment="1" applyProtection="1">
      <alignment horizontal="center" vertical="center"/>
      <protection locked="0"/>
    </xf>
    <xf numFmtId="0" fontId="42" fillId="0" borderId="24" xfId="0" applyFont="1" applyFill="1" applyBorder="1" applyAlignment="1" applyProtection="1">
      <alignment vertical="center" wrapText="1"/>
    </xf>
    <xf numFmtId="0" fontId="42" fillId="0" borderId="29" xfId="0" applyFont="1" applyBorder="1" applyAlignment="1" applyProtection="1">
      <alignment horizontal="center" vertical="center" wrapText="1"/>
    </xf>
    <xf numFmtId="166" fontId="42" fillId="0" borderId="23" xfId="1" applyNumberFormat="1" applyFont="1" applyBorder="1" applyAlignment="1" applyProtection="1">
      <alignment horizontal="center" vertical="center" wrapText="1"/>
    </xf>
    <xf numFmtId="166" fontId="42" fillId="0" borderId="24" xfId="1" applyNumberFormat="1" applyFont="1" applyBorder="1" applyAlignment="1" applyProtection="1">
      <alignment horizontal="center" vertical="center" wrapText="1"/>
    </xf>
    <xf numFmtId="3" fontId="42" fillId="0" borderId="24" xfId="0" applyNumberFormat="1" applyFont="1" applyBorder="1" applyAlignment="1" applyProtection="1">
      <alignment horizontal="center" vertical="center"/>
    </xf>
    <xf numFmtId="0" fontId="42" fillId="35" borderId="24" xfId="0" applyFont="1" applyFill="1" applyBorder="1" applyAlignment="1" applyProtection="1">
      <alignment horizontal="left" vertical="center"/>
    </xf>
    <xf numFmtId="0" fontId="42" fillId="36" borderId="24" xfId="0" applyFont="1" applyFill="1" applyBorder="1" applyAlignment="1" applyProtection="1">
      <alignment horizontal="left" vertical="center"/>
    </xf>
    <xf numFmtId="0" fontId="42" fillId="37" borderId="24" xfId="0" applyFont="1" applyFill="1" applyBorder="1" applyAlignment="1" applyProtection="1">
      <alignment horizontal="left" vertical="center"/>
    </xf>
    <xf numFmtId="0" fontId="42" fillId="38" borderId="24" xfId="0" applyFont="1" applyFill="1" applyBorder="1" applyAlignment="1" applyProtection="1">
      <alignment horizontal="left" vertical="center"/>
    </xf>
    <xf numFmtId="0" fontId="42" fillId="39" borderId="24" xfId="0" applyFont="1" applyFill="1" applyBorder="1" applyAlignment="1" applyProtection="1">
      <alignment horizontal="left" vertical="center"/>
    </xf>
    <xf numFmtId="0" fontId="42" fillId="40" borderId="24" xfId="0" applyFont="1" applyFill="1" applyBorder="1" applyAlignment="1" applyProtection="1">
      <alignment horizontal="left" vertical="center"/>
    </xf>
    <xf numFmtId="0" fontId="42" fillId="38" borderId="24" xfId="0" applyFont="1" applyFill="1" applyBorder="1" applyAlignment="1" applyProtection="1">
      <alignment vertical="center"/>
    </xf>
    <xf numFmtId="0" fontId="42" fillId="39" borderId="24" xfId="0" applyFont="1" applyFill="1" applyBorder="1" applyAlignment="1" applyProtection="1">
      <alignment vertical="center"/>
    </xf>
    <xf numFmtId="0" fontId="42" fillId="40" borderId="24" xfId="0" applyFont="1" applyFill="1" applyBorder="1" applyAlignment="1" applyProtection="1">
      <alignment vertical="center"/>
    </xf>
    <xf numFmtId="0" fontId="42" fillId="37" borderId="24" xfId="0" applyFont="1" applyFill="1" applyBorder="1" applyAlignment="1" applyProtection="1">
      <alignment vertical="center"/>
    </xf>
    <xf numFmtId="0" fontId="42" fillId="36" borderId="24" xfId="0" applyFont="1" applyFill="1" applyBorder="1" applyAlignment="1" applyProtection="1">
      <alignment vertical="center"/>
    </xf>
    <xf numFmtId="0" fontId="42" fillId="35" borderId="34" xfId="0" applyFont="1" applyFill="1" applyBorder="1" applyAlignment="1" applyProtection="1">
      <alignment vertical="center"/>
    </xf>
    <xf numFmtId="0" fontId="59" fillId="41" borderId="2" xfId="0" applyFont="1" applyFill="1" applyBorder="1" applyAlignment="1" applyProtection="1">
      <alignment horizontal="left" vertical="center"/>
    </xf>
    <xf numFmtId="0" fontId="59" fillId="41" borderId="2" xfId="0" applyFont="1" applyFill="1" applyBorder="1" applyAlignment="1" applyProtection="1">
      <alignment horizontal="center" vertical="center"/>
    </xf>
    <xf numFmtId="0" fontId="36" fillId="41" borderId="2" xfId="0" applyFont="1" applyFill="1" applyBorder="1" applyAlignment="1" applyProtection="1">
      <alignment horizontal="left" vertical="center"/>
    </xf>
    <xf numFmtId="0" fontId="42" fillId="41" borderId="2" xfId="0" applyFont="1" applyFill="1" applyBorder="1" applyAlignment="1" applyProtection="1">
      <alignment horizontal="center" vertical="center"/>
    </xf>
    <xf numFmtId="175" fontId="42" fillId="41" borderId="2" xfId="0" applyNumberFormat="1" applyFont="1" applyFill="1" applyBorder="1" applyAlignment="1" applyProtection="1">
      <alignment horizontal="center" vertical="center"/>
    </xf>
    <xf numFmtId="0" fontId="42" fillId="37" borderId="31" xfId="0" applyFont="1" applyFill="1" applyBorder="1" applyAlignment="1" applyProtection="1">
      <alignment horizontal="center" vertical="center" wrapText="1"/>
    </xf>
    <xf numFmtId="0" fontId="42" fillId="40" borderId="31" xfId="0" applyFont="1" applyFill="1" applyBorder="1" applyAlignment="1" applyProtection="1">
      <alignment horizontal="center" vertical="center" wrapText="1"/>
    </xf>
    <xf numFmtId="0" fontId="42" fillId="39" borderId="31" xfId="0" applyFont="1" applyFill="1" applyBorder="1" applyAlignment="1" applyProtection="1">
      <alignment horizontal="center" vertical="center" wrapText="1"/>
    </xf>
    <xf numFmtId="0" fontId="42" fillId="38" borderId="31" xfId="0" applyFont="1" applyFill="1" applyBorder="1" applyAlignment="1" applyProtection="1">
      <alignment horizontal="center" vertical="center" wrapText="1"/>
    </xf>
    <xf numFmtId="0" fontId="42" fillId="36" borderId="31" xfId="0" applyFont="1" applyFill="1" applyBorder="1" applyAlignment="1" applyProtection="1">
      <alignment horizontal="center" vertical="center" wrapText="1"/>
    </xf>
    <xf numFmtId="0" fontId="42" fillId="35" borderId="32" xfId="0" applyFont="1" applyFill="1" applyBorder="1" applyAlignment="1" applyProtection="1">
      <alignment horizontal="center" vertical="center" wrapText="1"/>
    </xf>
    <xf numFmtId="4" fontId="42" fillId="0" borderId="24" xfId="0" applyNumberFormat="1" applyFont="1" applyBorder="1" applyAlignment="1" applyProtection="1">
      <alignment horizontal="center" vertical="center"/>
    </xf>
    <xf numFmtId="4" fontId="42" fillId="0" borderId="25" xfId="0" applyNumberFormat="1" applyFont="1" applyBorder="1" applyAlignment="1" applyProtection="1">
      <alignment horizontal="center" vertical="center"/>
    </xf>
    <xf numFmtId="0" fontId="36" fillId="0" borderId="0" xfId="0" applyFont="1" applyBorder="1"/>
    <xf numFmtId="0" fontId="42" fillId="0" borderId="0" xfId="0" applyFont="1" applyBorder="1"/>
    <xf numFmtId="0" fontId="42" fillId="0" borderId="0" xfId="0" applyFont="1" applyBorder="1" applyAlignment="1">
      <alignment horizontal="left" wrapText="1"/>
    </xf>
    <xf numFmtId="0" fontId="94" fillId="0" borderId="0" xfId="0" applyFont="1" applyBorder="1"/>
    <xf numFmtId="0" fontId="42" fillId="0" borderId="23" xfId="0" applyFont="1" applyFill="1" applyBorder="1" applyAlignment="1">
      <alignment horizontal="center" vertical="center"/>
    </xf>
    <xf numFmtId="0" fontId="42" fillId="0" borderId="24" xfId="0" applyFont="1" applyFill="1" applyBorder="1" applyAlignment="1" applyProtection="1">
      <alignment horizontal="center" vertical="center"/>
      <protection locked="0"/>
    </xf>
    <xf numFmtId="0" fontId="42" fillId="0" borderId="25" xfId="0" applyFont="1" applyFill="1" applyBorder="1" applyAlignment="1" applyProtection="1">
      <alignment horizontal="center" vertical="center"/>
      <protection locked="0"/>
    </xf>
    <xf numFmtId="0" fontId="42" fillId="0" borderId="34" xfId="0" applyFont="1" applyFill="1" applyBorder="1" applyAlignment="1" applyProtection="1">
      <alignment vertical="center"/>
    </xf>
    <xf numFmtId="0" fontId="42" fillId="0" borderId="34" xfId="0" applyFont="1" applyBorder="1" applyAlignment="1" applyProtection="1">
      <alignment horizontal="center" vertical="center"/>
    </xf>
    <xf numFmtId="0" fontId="36"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175" fontId="42" fillId="0" borderId="0" xfId="0" applyNumberFormat="1" applyFont="1" applyFill="1" applyBorder="1" applyAlignment="1" applyProtection="1">
      <alignment horizontal="center" vertical="center"/>
    </xf>
    <xf numFmtId="0" fontId="42" fillId="0" borderId="3" xfId="0" applyFont="1" applyFill="1" applyBorder="1" applyAlignment="1" applyProtection="1">
      <alignment vertical="center"/>
    </xf>
    <xf numFmtId="0" fontId="42" fillId="0" borderId="3" xfId="0" applyFont="1" applyBorder="1" applyAlignment="1" applyProtection="1">
      <alignment horizontal="center" vertical="center"/>
    </xf>
    <xf numFmtId="0" fontId="36" fillId="27" borderId="2" xfId="0" applyFont="1" applyFill="1" applyBorder="1" applyAlignment="1">
      <alignment horizontal="center" vertical="center" wrapText="1"/>
    </xf>
    <xf numFmtId="0" fontId="36" fillId="27" borderId="26" xfId="0" applyFont="1" applyFill="1" applyBorder="1" applyAlignment="1">
      <alignment horizontal="center" vertical="center"/>
    </xf>
    <xf numFmtId="1" fontId="40" fillId="25" borderId="0" xfId="0" applyNumberFormat="1" applyFont="1" applyFill="1" applyProtection="1"/>
    <xf numFmtId="0" fontId="40" fillId="0" borderId="0" xfId="0" applyFont="1" applyAlignment="1" applyProtection="1">
      <alignment horizontal="center"/>
    </xf>
    <xf numFmtId="0" fontId="36" fillId="27" borderId="26" xfId="0" applyFont="1" applyFill="1" applyBorder="1" applyAlignment="1" applyProtection="1">
      <alignment horizontal="center" vertical="center" wrapText="1"/>
    </xf>
    <xf numFmtId="177" fontId="42" fillId="0" borderId="23" xfId="1" applyNumberFormat="1" applyFont="1" applyBorder="1" applyAlignment="1" applyProtection="1">
      <alignment horizontal="center" vertical="center"/>
    </xf>
    <xf numFmtId="177" fontId="42" fillId="0" borderId="25" xfId="1" applyNumberFormat="1" applyFont="1" applyBorder="1" applyAlignment="1" applyProtection="1">
      <alignment horizontal="center" vertical="center"/>
    </xf>
    <xf numFmtId="3" fontId="42" fillId="0" borderId="27" xfId="0" applyNumberFormat="1" applyFont="1" applyFill="1" applyBorder="1" applyAlignment="1">
      <alignment horizontal="center" vertical="center"/>
    </xf>
    <xf numFmtId="0" fontId="42" fillId="0" borderId="0" xfId="0" applyFont="1" applyFill="1" applyBorder="1" applyAlignment="1">
      <alignment horizontal="left" vertical="center" wrapText="1"/>
    </xf>
    <xf numFmtId="0" fontId="97" fillId="0" borderId="0" xfId="0" applyFont="1" applyFill="1" applyBorder="1" applyAlignment="1">
      <alignment horizontal="left" vertical="center"/>
    </xf>
    <xf numFmtId="0" fontId="58" fillId="0" borderId="0" xfId="0" applyFont="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2" xfId="0" applyFont="1" applyFill="1" applyBorder="1" applyAlignment="1">
      <alignment vertical="center" wrapText="1"/>
    </xf>
    <xf numFmtId="0" fontId="42" fillId="0" borderId="2" xfId="0" applyFont="1" applyBorder="1" applyAlignment="1">
      <alignment horizontal="center" vertical="center"/>
    </xf>
    <xf numFmtId="0" fontId="42" fillId="0" borderId="2" xfId="0" applyFont="1" applyBorder="1" applyAlignment="1">
      <alignment horizontal="center" vertical="center" wrapText="1"/>
    </xf>
    <xf numFmtId="0" fontId="40" fillId="0" borderId="28" xfId="0" applyFont="1" applyBorder="1"/>
    <xf numFmtId="0" fontId="42" fillId="0" borderId="45" xfId="0" applyFont="1" applyBorder="1" applyAlignment="1">
      <alignment vertical="center"/>
    </xf>
    <xf numFmtId="0" fontId="40" fillId="0" borderId="49" xfId="0" applyFont="1" applyBorder="1"/>
    <xf numFmtId="0" fontId="42" fillId="0" borderId="45" xfId="0" applyFont="1" applyBorder="1" applyAlignment="1">
      <alignment horizontal="center" vertical="center"/>
    </xf>
    <xf numFmtId="3" fontId="42" fillId="0" borderId="39" xfId="0" applyNumberFormat="1" applyFont="1" applyBorder="1" applyAlignment="1">
      <alignment horizontal="center" vertical="center"/>
    </xf>
    <xf numFmtId="0" fontId="42" fillId="42" borderId="2" xfId="0" applyFont="1" applyFill="1" applyBorder="1" applyAlignment="1" applyProtection="1">
      <alignment horizontal="center" vertical="center"/>
    </xf>
    <xf numFmtId="175" fontId="42" fillId="42" borderId="2" xfId="0" applyNumberFormat="1" applyFont="1" applyFill="1" applyBorder="1" applyAlignment="1" applyProtection="1">
      <alignment horizontal="center" vertical="center"/>
    </xf>
    <xf numFmtId="0" fontId="36" fillId="42" borderId="2" xfId="0" applyFont="1" applyFill="1" applyBorder="1" applyAlignment="1" applyProtection="1">
      <alignment horizontal="center" vertical="center"/>
    </xf>
    <xf numFmtId="0" fontId="37" fillId="42" borderId="0" xfId="0" applyFont="1" applyFill="1" applyBorder="1" applyAlignment="1">
      <alignment horizontal="left" vertical="center"/>
    </xf>
    <xf numFmtId="0" fontId="58" fillId="42" borderId="0" xfId="0" applyFont="1" applyFill="1" applyBorder="1" applyAlignment="1" applyProtection="1">
      <alignment horizontal="left" vertical="center"/>
    </xf>
    <xf numFmtId="175" fontId="42" fillId="42" borderId="0" xfId="0" applyNumberFormat="1" applyFont="1" applyFill="1" applyBorder="1" applyAlignment="1" applyProtection="1">
      <alignment horizontal="center" vertical="center"/>
    </xf>
    <xf numFmtId="0" fontId="42" fillId="42" borderId="0" xfId="0" applyFont="1" applyFill="1" applyProtection="1"/>
    <xf numFmtId="0" fontId="42" fillId="0" borderId="0" xfId="0" applyFont="1" applyFill="1" applyBorder="1" applyProtection="1"/>
    <xf numFmtId="0" fontId="36"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42" fillId="0" borderId="0" xfId="0" applyFont="1" applyFill="1" applyBorder="1" applyAlignment="1" applyProtection="1">
      <alignment vertical="center" wrapText="1"/>
    </xf>
    <xf numFmtId="0" fontId="42" fillId="0" borderId="0" xfId="0" applyFont="1" applyAlignment="1" applyProtection="1">
      <alignment horizontal="left" vertical="center"/>
    </xf>
    <xf numFmtId="0" fontId="36" fillId="0" borderId="0" xfId="0" applyFont="1" applyFill="1" applyBorder="1" applyAlignment="1" applyProtection="1">
      <alignment vertical="center" wrapText="1"/>
    </xf>
    <xf numFmtId="4" fontId="42" fillId="0" borderId="0" xfId="0" applyNumberFormat="1" applyFont="1" applyFill="1" applyBorder="1" applyAlignment="1" applyProtection="1">
      <alignment vertical="center"/>
    </xf>
    <xf numFmtId="0" fontId="42" fillId="0" borderId="23" xfId="0" applyFont="1" applyFill="1" applyBorder="1" applyAlignment="1" applyProtection="1">
      <alignment vertical="center" wrapText="1"/>
    </xf>
    <xf numFmtId="175" fontId="42" fillId="0" borderId="25" xfId="0" applyNumberFormat="1" applyFont="1" applyFill="1" applyBorder="1" applyAlignment="1">
      <alignment horizontal="center" vertical="center"/>
    </xf>
    <xf numFmtId="175" fontId="42" fillId="0" borderId="3" xfId="0" applyNumberFormat="1" applyFont="1" applyFill="1" applyBorder="1" applyAlignment="1">
      <alignment horizontal="center" vertical="center"/>
    </xf>
    <xf numFmtId="9" fontId="40" fillId="0" borderId="0" xfId="2" applyFont="1"/>
    <xf numFmtId="0" fontId="0" fillId="0" borderId="2" xfId="0" applyBorder="1" applyAlignment="1">
      <alignment horizontal="center"/>
    </xf>
    <xf numFmtId="9" fontId="0" fillId="0" borderId="2" xfId="2" applyFont="1" applyBorder="1"/>
    <xf numFmtId="0" fontId="42" fillId="0" borderId="27" xfId="0" applyFont="1" applyBorder="1" applyAlignment="1">
      <alignment horizontal="left" vertical="center"/>
    </xf>
    <xf numFmtId="9" fontId="42" fillId="0" borderId="23" xfId="0" applyNumberFormat="1" applyFont="1" applyBorder="1" applyAlignment="1">
      <alignment horizontal="center" vertical="center"/>
    </xf>
    <xf numFmtId="0" fontId="42" fillId="0" borderId="2" xfId="0" applyFont="1" applyBorder="1" applyProtection="1"/>
    <xf numFmtId="174" fontId="40" fillId="25" borderId="0" xfId="1" applyNumberFormat="1" applyFont="1" applyFill="1" applyProtection="1"/>
    <xf numFmtId="174" fontId="40" fillId="0" borderId="0" xfId="1" applyNumberFormat="1" applyFont="1" applyProtection="1"/>
    <xf numFmtId="0" fontId="99" fillId="0" borderId="0" xfId="0" applyFont="1"/>
    <xf numFmtId="0" fontId="2" fillId="0" borderId="0" xfId="0" applyFont="1"/>
    <xf numFmtId="0" fontId="37" fillId="43" borderId="53" xfId="0" applyFont="1" applyFill="1" applyBorder="1"/>
    <xf numFmtId="0" fontId="37" fillId="43" borderId="54" xfId="0" applyFont="1" applyFill="1" applyBorder="1"/>
    <xf numFmtId="0" fontId="2" fillId="0" borderId="0" xfId="0" applyFont="1" applyAlignment="1">
      <alignment horizontal="left" vertical="center"/>
    </xf>
    <xf numFmtId="0" fontId="2" fillId="34" borderId="2" xfId="0" applyFont="1" applyFill="1" applyBorder="1" applyAlignment="1">
      <alignment horizontal="center"/>
    </xf>
    <xf numFmtId="0" fontId="2" fillId="0" borderId="2" xfId="0" applyFont="1" applyBorder="1" applyProtection="1"/>
    <xf numFmtId="164" fontId="2" fillId="0" borderId="2" xfId="1271" applyFont="1" applyBorder="1" applyAlignment="1" applyProtection="1">
      <alignment horizontal="center"/>
    </xf>
    <xf numFmtId="0" fontId="10" fillId="0" borderId="2" xfId="0" applyFont="1" applyBorder="1" applyProtection="1"/>
    <xf numFmtId="164" fontId="2" fillId="0" borderId="2" xfId="1271" applyFont="1" applyFill="1" applyBorder="1" applyAlignment="1" applyProtection="1">
      <alignment horizontal="center"/>
    </xf>
    <xf numFmtId="0" fontId="2" fillId="0" borderId="0" xfId="0" applyFont="1" applyAlignment="1">
      <alignment horizontal="left"/>
    </xf>
    <xf numFmtId="0" fontId="2" fillId="0" borderId="0" xfId="0" quotePrefix="1" applyFont="1" applyProtection="1"/>
    <xf numFmtId="0" fontId="2" fillId="34" borderId="2" xfId="0" applyFont="1" applyFill="1" applyBorder="1" applyAlignment="1" applyProtection="1">
      <alignment horizontal="center" vertical="center" wrapText="1"/>
    </xf>
    <xf numFmtId="0" fontId="2" fillId="0" borderId="2" xfId="0" applyFont="1" applyBorder="1" applyAlignment="1" applyProtection="1">
      <alignment horizontal="center"/>
    </xf>
    <xf numFmtId="0" fontId="10" fillId="0" borderId="0" xfId="0" applyFont="1" applyProtection="1"/>
    <xf numFmtId="0" fontId="2" fillId="0" borderId="2" xfId="0" applyFont="1" applyFill="1" applyBorder="1" applyAlignment="1" applyProtection="1">
      <alignment horizontal="left"/>
    </xf>
    <xf numFmtId="164" fontId="2" fillId="0" borderId="2" xfId="1271" applyFont="1" applyBorder="1" applyProtection="1"/>
    <xf numFmtId="0" fontId="10" fillId="44" borderId="2" xfId="0" applyFont="1" applyFill="1" applyBorder="1" applyAlignment="1" applyProtection="1">
      <alignment horizontal="center"/>
    </xf>
    <xf numFmtId="0" fontId="2" fillId="0" borderId="2" xfId="0" applyFont="1" applyBorder="1"/>
    <xf numFmtId="0" fontId="2" fillId="20" borderId="2" xfId="0" applyFont="1" applyFill="1" applyBorder="1" applyAlignment="1" applyProtection="1">
      <alignment horizontal="center"/>
    </xf>
    <xf numFmtId="180" fontId="2" fillId="0" borderId="2" xfId="0" applyNumberFormat="1" applyFont="1" applyBorder="1" applyAlignment="1" applyProtection="1">
      <alignment horizontal="center"/>
    </xf>
    <xf numFmtId="184" fontId="40" fillId="25" borderId="2" xfId="1" applyNumberFormat="1" applyFont="1" applyFill="1" applyBorder="1" applyProtection="1"/>
    <xf numFmtId="184" fontId="40" fillId="25" borderId="22" xfId="1" applyNumberFormat="1" applyFont="1" applyFill="1" applyBorder="1" applyProtection="1"/>
    <xf numFmtId="0" fontId="40" fillId="0" borderId="0" xfId="0" applyFont="1" applyFill="1" applyProtection="1"/>
    <xf numFmtId="0" fontId="41" fillId="0" borderId="0" xfId="0" applyFont="1" applyFill="1" applyProtection="1"/>
    <xf numFmtId="9" fontId="40" fillId="0" borderId="0" xfId="0" applyNumberFormat="1" applyFont="1" applyFill="1" applyProtection="1"/>
    <xf numFmtId="0" fontId="59" fillId="0" borderId="55" xfId="0" applyFont="1" applyBorder="1" applyAlignment="1" applyProtection="1">
      <alignment horizontal="center" vertical="center"/>
    </xf>
    <xf numFmtId="185" fontId="40" fillId="0" borderId="0" xfId="0" applyNumberFormat="1" applyFont="1" applyProtection="1"/>
    <xf numFmtId="175" fontId="42" fillId="0" borderId="24" xfId="0" applyNumberFormat="1" applyFont="1" applyFill="1" applyBorder="1" applyAlignment="1" applyProtection="1">
      <alignment horizontal="center" vertical="center"/>
      <protection locked="0"/>
    </xf>
    <xf numFmtId="3" fontId="42" fillId="20" borderId="27" xfId="0" applyNumberFormat="1" applyFont="1" applyFill="1" applyBorder="1" applyAlignment="1" applyProtection="1">
      <alignment horizontal="center" vertical="center"/>
      <protection locked="0"/>
    </xf>
    <xf numFmtId="0" fontId="42" fillId="20" borderId="23" xfId="0" applyFont="1" applyFill="1" applyBorder="1" applyAlignment="1" applyProtection="1">
      <alignment horizontal="center" vertical="center" wrapText="1"/>
      <protection locked="0"/>
    </xf>
    <xf numFmtId="3" fontId="42" fillId="20" borderId="25" xfId="0" applyNumberFormat="1" applyFont="1" applyFill="1" applyBorder="1" applyAlignment="1" applyProtection="1">
      <alignment horizontal="center" vertical="center"/>
      <protection locked="0"/>
    </xf>
    <xf numFmtId="1" fontId="42" fillId="27" borderId="25" xfId="2" applyNumberFormat="1" applyFont="1" applyFill="1" applyBorder="1" applyAlignment="1" applyProtection="1">
      <alignment horizontal="center" vertical="center"/>
    </xf>
    <xf numFmtId="9" fontId="0" fillId="0" borderId="0" xfId="0" applyNumberFormat="1"/>
    <xf numFmtId="3" fontId="42" fillId="0" borderId="23" xfId="0" applyNumberFormat="1" applyFont="1" applyFill="1" applyBorder="1" applyAlignment="1" applyProtection="1">
      <alignment horizontal="center" vertical="center"/>
      <protection locked="0"/>
    </xf>
    <xf numFmtId="0" fontId="102" fillId="0" borderId="0" xfId="0" applyFont="1" applyFill="1" applyBorder="1"/>
    <xf numFmtId="0" fontId="94" fillId="0" borderId="0" xfId="0" applyFont="1"/>
    <xf numFmtId="9" fontId="102" fillId="23" borderId="55" xfId="0" applyNumberFormat="1" applyFont="1" applyFill="1" applyBorder="1" applyAlignment="1">
      <alignment horizontal="center"/>
    </xf>
    <xf numFmtId="0" fontId="57" fillId="0" borderId="0" xfId="0" applyFont="1" applyFill="1" applyBorder="1" applyAlignment="1">
      <alignment horizontal="center"/>
    </xf>
    <xf numFmtId="0" fontId="100" fillId="0" borderId="0" xfId="0" applyFont="1" applyAlignment="1" applyProtection="1">
      <alignment vertical="center"/>
      <protection hidden="1"/>
    </xf>
    <xf numFmtId="0" fontId="101" fillId="0" borderId="0" xfId="0" applyFont="1" applyAlignment="1" applyProtection="1">
      <alignment vertical="center"/>
      <protection hidden="1"/>
    </xf>
    <xf numFmtId="166" fontId="101" fillId="28" borderId="0" xfId="0" applyNumberFormat="1" applyFont="1" applyFill="1" applyAlignment="1" applyProtection="1">
      <alignment vertical="center"/>
      <protection hidden="1"/>
    </xf>
    <xf numFmtId="0" fontId="42" fillId="0" borderId="24" xfId="0" applyFont="1" applyBorder="1" applyAlignment="1" applyProtection="1">
      <alignment horizontal="center" vertical="center"/>
    </xf>
    <xf numFmtId="3" fontId="42" fillId="0" borderId="24" xfId="0" applyNumberFormat="1" applyFont="1" applyFill="1" applyBorder="1" applyAlignment="1" applyProtection="1">
      <alignment horizontal="center" vertical="center"/>
      <protection locked="0"/>
    </xf>
    <xf numFmtId="10" fontId="42" fillId="0" borderId="34" xfId="2" applyNumberFormat="1" applyFont="1" applyFill="1" applyBorder="1" applyAlignment="1" applyProtection="1">
      <alignment horizontal="center" vertical="center"/>
      <protection locked="0"/>
    </xf>
    <xf numFmtId="183" fontId="42" fillId="0" borderId="25" xfId="2" applyNumberFormat="1" applyFont="1" applyFill="1" applyBorder="1" applyAlignment="1" applyProtection="1">
      <alignment horizontal="center" vertical="center"/>
      <protection locked="0"/>
    </xf>
    <xf numFmtId="0" fontId="42" fillId="0" borderId="3" xfId="0" applyFont="1" applyFill="1" applyBorder="1" applyAlignment="1">
      <alignment vertical="center" wrapText="1"/>
    </xf>
    <xf numFmtId="180" fontId="2" fillId="20" borderId="2" xfId="0" applyNumberFormat="1" applyFont="1" applyFill="1" applyBorder="1" applyAlignment="1" applyProtection="1">
      <alignment horizontal="center"/>
    </xf>
    <xf numFmtId="10" fontId="40" fillId="0" borderId="0" xfId="2" applyNumberFormat="1" applyFont="1" applyAlignment="1" applyProtection="1">
      <alignment vertical="center"/>
      <protection hidden="1"/>
    </xf>
    <xf numFmtId="186" fontId="40" fillId="0" borderId="0" xfId="0" applyNumberFormat="1" applyFont="1" applyProtection="1"/>
    <xf numFmtId="187" fontId="0" fillId="28" borderId="0" xfId="0" applyNumberFormat="1" applyFill="1" applyAlignment="1">
      <alignment horizontal="center" vertical="center"/>
    </xf>
    <xf numFmtId="0" fontId="42" fillId="0" borderId="0" xfId="0" applyFont="1" applyAlignment="1" applyProtection="1">
      <alignment vertical="center" wrapText="1"/>
    </xf>
    <xf numFmtId="0" fontId="2" fillId="0" borderId="45" xfId="0" applyFont="1" applyBorder="1"/>
    <xf numFmtId="0" fontId="42" fillId="0" borderId="25" xfId="0" applyFont="1" applyBorder="1" applyAlignment="1" applyProtection="1">
      <alignment horizontal="center" vertical="center"/>
      <protection locked="0"/>
    </xf>
    <xf numFmtId="0" fontId="36" fillId="0" borderId="2" xfId="0" applyFont="1" applyBorder="1" applyProtection="1"/>
    <xf numFmtId="9" fontId="42" fillId="0" borderId="24" xfId="2" applyFont="1" applyFill="1" applyBorder="1" applyAlignment="1" applyProtection="1">
      <alignment horizontal="center" vertical="center" wrapText="1"/>
      <protection locked="0"/>
    </xf>
    <xf numFmtId="0" fontId="0" fillId="0" borderId="0" xfId="0" applyBorder="1" applyAlignment="1">
      <alignment horizontal="right"/>
    </xf>
    <xf numFmtId="3" fontId="42" fillId="0" borderId="2" xfId="0" applyNumberFormat="1" applyFont="1" applyBorder="1" applyAlignment="1">
      <alignment horizontal="center" vertical="center" wrapText="1"/>
    </xf>
    <xf numFmtId="0" fontId="0" fillId="0" borderId="2" xfId="0" applyBorder="1" applyAlignment="1">
      <alignment horizontal="center"/>
    </xf>
    <xf numFmtId="3" fontId="42" fillId="27" borderId="27" xfId="0" applyNumberFormat="1" applyFont="1" applyFill="1" applyBorder="1" applyAlignment="1" applyProtection="1">
      <alignment horizontal="center" vertical="center"/>
    </xf>
    <xf numFmtId="0" fontId="42" fillId="0" borderId="0" xfId="0" applyFont="1" applyFill="1" applyBorder="1" applyAlignment="1">
      <alignment horizontal="left" vertical="top" wrapText="1"/>
    </xf>
    <xf numFmtId="0" fontId="104" fillId="0" borderId="0" xfId="0" applyFont="1" applyProtection="1"/>
    <xf numFmtId="186" fontId="104" fillId="0" borderId="0" xfId="0" applyNumberFormat="1" applyFont="1" applyProtection="1"/>
    <xf numFmtId="0" fontId="105" fillId="0" borderId="0" xfId="0" applyFont="1" applyBorder="1" applyProtection="1"/>
    <xf numFmtId="0" fontId="105" fillId="0" borderId="0" xfId="0" applyFont="1" applyBorder="1" applyAlignment="1" applyProtection="1">
      <alignment vertical="center"/>
    </xf>
    <xf numFmtId="0" fontId="44" fillId="0" borderId="0" xfId="0" applyFont="1" applyBorder="1" applyAlignment="1" applyProtection="1">
      <alignment vertical="center"/>
    </xf>
    <xf numFmtId="1" fontId="0" fillId="0" borderId="2" xfId="0" applyNumberFormat="1" applyBorder="1"/>
    <xf numFmtId="1" fontId="0" fillId="0" borderId="2" xfId="2" applyNumberFormat="1" applyFont="1" applyBorder="1"/>
    <xf numFmtId="0" fontId="60" fillId="0" borderId="0" xfId="0" applyFont="1" applyBorder="1"/>
    <xf numFmtId="182" fontId="60" fillId="25" borderId="0" xfId="1" applyNumberFormat="1" applyFont="1" applyFill="1" applyBorder="1"/>
    <xf numFmtId="182" fontId="60" fillId="0" borderId="0" xfId="1" applyNumberFormat="1" applyFont="1" applyFill="1" applyBorder="1"/>
    <xf numFmtId="0" fontId="60" fillId="0" borderId="0" xfId="0" applyFont="1"/>
    <xf numFmtId="0" fontId="47" fillId="26" borderId="15" xfId="0" applyFont="1" applyFill="1" applyBorder="1" applyAlignment="1">
      <alignment horizontal="center" vertical="center"/>
    </xf>
    <xf numFmtId="0" fontId="47" fillId="26" borderId="16" xfId="0" applyFont="1" applyFill="1" applyBorder="1" applyAlignment="1">
      <alignment horizontal="center" vertical="center"/>
    </xf>
    <xf numFmtId="0" fontId="61" fillId="33" borderId="47" xfId="0" applyFont="1" applyFill="1" applyBorder="1" applyAlignment="1">
      <alignment horizontal="center" vertical="center"/>
    </xf>
    <xf numFmtId="0" fontId="47" fillId="26" borderId="50" xfId="0" applyFont="1" applyFill="1" applyBorder="1" applyAlignment="1">
      <alignment horizontal="center" vertical="center"/>
    </xf>
    <xf numFmtId="0" fontId="47" fillId="21" borderId="0" xfId="0" applyFont="1" applyFill="1" applyBorder="1" applyAlignment="1">
      <alignment horizontal="center"/>
    </xf>
    <xf numFmtId="0" fontId="105" fillId="0" borderId="0" xfId="0" applyFont="1" applyProtection="1"/>
    <xf numFmtId="0" fontId="40" fillId="0" borderId="0" xfId="0" applyFont="1" applyBorder="1" applyProtection="1"/>
    <xf numFmtId="9" fontId="42" fillId="0" borderId="23" xfId="2" applyFont="1" applyBorder="1" applyAlignment="1">
      <alignment horizontal="center" vertical="center" wrapText="1"/>
    </xf>
    <xf numFmtId="9" fontId="42" fillId="0" borderId="25" xfId="2" applyFont="1" applyBorder="1" applyAlignment="1">
      <alignment horizontal="center" vertical="center" wrapText="1"/>
    </xf>
    <xf numFmtId="0" fontId="106" fillId="0" borderId="0" xfId="0" applyFont="1" applyFill="1" applyAlignment="1">
      <alignment horizontal="center"/>
    </xf>
    <xf numFmtId="166" fontId="60" fillId="0" borderId="0" xfId="1271" applyNumberFormat="1" applyFont="1" applyFill="1"/>
    <xf numFmtId="181" fontId="60" fillId="25" borderId="0" xfId="1271" applyNumberFormat="1" applyFont="1" applyFill="1" applyBorder="1"/>
    <xf numFmtId="166" fontId="107" fillId="0" borderId="0" xfId="1271" applyNumberFormat="1" applyFont="1" applyFill="1" applyBorder="1"/>
    <xf numFmtId="183" fontId="42" fillId="0" borderId="24" xfId="2" applyNumberFormat="1" applyFont="1" applyFill="1" applyBorder="1" applyAlignment="1" applyProtection="1">
      <alignment horizontal="center" vertical="center"/>
      <protection locked="0"/>
    </xf>
    <xf numFmtId="183" fontId="42" fillId="0" borderId="31" xfId="2" applyNumberFormat="1" applyFont="1" applyFill="1" applyBorder="1" applyAlignment="1" applyProtection="1">
      <alignment horizontal="center" vertical="center"/>
      <protection locked="0"/>
    </xf>
    <xf numFmtId="0" fontId="42" fillId="0" borderId="47" xfId="0" applyFont="1" applyBorder="1" applyAlignment="1" applyProtection="1">
      <alignment horizontal="left" vertical="center" wrapText="1"/>
    </xf>
    <xf numFmtId="1" fontId="42" fillId="0" borderId="25" xfId="2" applyNumberFormat="1" applyFont="1" applyFill="1" applyBorder="1" applyAlignment="1" applyProtection="1">
      <alignment horizontal="center" vertical="center"/>
      <protection locked="0"/>
    </xf>
    <xf numFmtId="9" fontId="42" fillId="0" borderId="24" xfId="2" applyFont="1" applyFill="1" applyBorder="1" applyAlignment="1">
      <alignment horizontal="center" vertical="center"/>
    </xf>
    <xf numFmtId="9" fontId="42" fillId="0" borderId="24" xfId="2" applyNumberFormat="1" applyFont="1" applyFill="1" applyBorder="1" applyAlignment="1">
      <alignment horizontal="center" vertical="center"/>
    </xf>
    <xf numFmtId="0" fontId="61" fillId="0" borderId="0" xfId="0" applyFont="1" applyFill="1" applyBorder="1" applyAlignment="1">
      <alignment horizontal="left"/>
    </xf>
    <xf numFmtId="0" fontId="42" fillId="0" borderId="22" xfId="0" applyFont="1" applyBorder="1" applyAlignment="1" applyProtection="1">
      <alignment vertical="center" wrapText="1"/>
    </xf>
    <xf numFmtId="0" fontId="42" fillId="0" borderId="52" xfId="0" applyFont="1" applyBorder="1" applyAlignment="1" applyProtection="1">
      <alignment vertical="center" wrapText="1"/>
    </xf>
    <xf numFmtId="0" fontId="42" fillId="0" borderId="3" xfId="0" applyFont="1" applyBorder="1" applyAlignment="1" applyProtection="1">
      <alignment vertical="center" wrapText="1"/>
    </xf>
    <xf numFmtId="164" fontId="60" fillId="25" borderId="0" xfId="1" applyFont="1" applyFill="1" applyBorder="1"/>
    <xf numFmtId="164" fontId="60" fillId="0" borderId="0" xfId="1" applyFont="1" applyFill="1" applyBorder="1"/>
    <xf numFmtId="164" fontId="60" fillId="45" borderId="0" xfId="1" applyFont="1" applyFill="1"/>
    <xf numFmtId="0" fontId="42" fillId="0" borderId="0" xfId="0" applyFont="1" applyFill="1" applyBorder="1" applyAlignment="1">
      <alignment horizontal="left" vertical="center" wrapText="1"/>
    </xf>
    <xf numFmtId="182" fontId="60" fillId="25" borderId="18" xfId="1271" applyNumberFormat="1" applyFont="1" applyFill="1" applyBorder="1"/>
    <xf numFmtId="0" fontId="36" fillId="27" borderId="26" xfId="0" applyFont="1" applyFill="1" applyBorder="1" applyAlignment="1" applyProtection="1">
      <alignment horizontal="left" vertical="center" wrapText="1"/>
    </xf>
    <xf numFmtId="175" fontId="42" fillId="0" borderId="22" xfId="1" applyNumberFormat="1" applyFont="1" applyFill="1" applyBorder="1" applyAlignment="1" applyProtection="1">
      <alignment horizontal="center" vertical="center" wrapText="1"/>
    </xf>
    <xf numFmtId="0" fontId="0" fillId="0" borderId="0" xfId="0" applyFill="1" applyBorder="1" applyProtection="1"/>
    <xf numFmtId="0" fontId="36" fillId="0" borderId="0" xfId="0" applyFont="1" applyFill="1" applyBorder="1" applyAlignment="1" applyProtection="1">
      <alignment horizontal="center" vertical="center" wrapText="1"/>
    </xf>
    <xf numFmtId="3" fontId="42" fillId="0" borderId="0" xfId="1" applyNumberFormat="1" applyFont="1" applyFill="1" applyBorder="1" applyAlignment="1" applyProtection="1">
      <alignment horizontal="center" vertical="center" wrapText="1"/>
    </xf>
    <xf numFmtId="3" fontId="0" fillId="0" borderId="0" xfId="0" applyNumberFormat="1" applyProtection="1"/>
    <xf numFmtId="0" fontId="59" fillId="27" borderId="22" xfId="0" applyFont="1" applyFill="1" applyBorder="1" applyAlignment="1" applyProtection="1">
      <alignment horizontal="center" vertical="center" wrapText="1"/>
    </xf>
    <xf numFmtId="0" fontId="59" fillId="27" borderId="22" xfId="0" applyFont="1" applyFill="1" applyBorder="1" applyAlignment="1" applyProtection="1">
      <alignment horizontal="center" vertical="center"/>
    </xf>
    <xf numFmtId="0" fontId="61" fillId="33" borderId="0" xfId="0" applyFont="1" applyFill="1" applyBorder="1" applyAlignment="1">
      <alignment horizontal="center" vertical="center"/>
    </xf>
    <xf numFmtId="0" fontId="0" fillId="45" borderId="0" xfId="0" applyFill="1" applyBorder="1" applyProtection="1"/>
    <xf numFmtId="166" fontId="44" fillId="45" borderId="0" xfId="1" applyNumberFormat="1" applyFont="1" applyFill="1" applyBorder="1" applyAlignment="1" applyProtection="1">
      <alignment horizontal="center" vertical="center" wrapText="1"/>
    </xf>
    <xf numFmtId="0" fontId="108" fillId="0" borderId="0" xfId="0" applyFont="1" applyBorder="1"/>
    <xf numFmtId="0" fontId="79" fillId="0" borderId="0" xfId="0" quotePrefix="1" applyFont="1" applyBorder="1" applyAlignment="1">
      <alignment horizontal="center"/>
    </xf>
    <xf numFmtId="14" fontId="79" fillId="23" borderId="0" xfId="0" applyNumberFormat="1" applyFont="1" applyFill="1" applyBorder="1" applyAlignment="1">
      <alignment horizontal="center"/>
    </xf>
    <xf numFmtId="0" fontId="51" fillId="0" borderId="28" xfId="0" applyFont="1" applyBorder="1"/>
    <xf numFmtId="0" fontId="51" fillId="0" borderId="0" xfId="0" applyFont="1"/>
    <xf numFmtId="0" fontId="59" fillId="27" borderId="26" xfId="0" applyFont="1" applyFill="1" applyBorder="1" applyAlignment="1" applyProtection="1">
      <alignment horizontal="left" vertical="center" wrapText="1"/>
    </xf>
    <xf numFmtId="177" fontId="79" fillId="0" borderId="0" xfId="1" applyNumberFormat="1" applyFont="1" applyFill="1" applyBorder="1" applyAlignment="1" applyProtection="1">
      <alignment horizontal="center" vertical="center" wrapText="1"/>
      <protection locked="0"/>
    </xf>
    <xf numFmtId="0" fontId="59" fillId="0" borderId="23" xfId="0" applyFont="1" applyFill="1" applyBorder="1" applyAlignment="1" applyProtection="1">
      <alignment horizontal="left" vertical="center"/>
    </xf>
    <xf numFmtId="0" fontId="79" fillId="0" borderId="0" xfId="0" applyFont="1" applyAlignment="1" applyProtection="1">
      <alignment horizontal="left" vertical="center" wrapText="1"/>
    </xf>
    <xf numFmtId="0" fontId="59" fillId="0" borderId="24" xfId="0" applyFont="1" applyFill="1" applyBorder="1" applyAlignment="1" applyProtection="1">
      <alignment horizontal="left" vertical="center"/>
    </xf>
    <xf numFmtId="0" fontId="59" fillId="0" borderId="27" xfId="0" applyFont="1" applyFill="1" applyBorder="1" applyAlignment="1" applyProtection="1">
      <alignment horizontal="left" vertical="center"/>
    </xf>
    <xf numFmtId="0" fontId="59" fillId="0" borderId="3" xfId="0" applyFont="1" applyFill="1" applyBorder="1" applyAlignment="1" applyProtection="1">
      <alignment horizontal="left" vertical="center"/>
    </xf>
    <xf numFmtId="0" fontId="79" fillId="0" borderId="0" xfId="0" applyFont="1" applyProtection="1"/>
    <xf numFmtId="0" fontId="79" fillId="0" borderId="0" xfId="0" applyFont="1" applyFill="1" applyBorder="1" applyProtection="1"/>
    <xf numFmtId="3" fontId="79" fillId="0" borderId="24" xfId="0" applyNumberFormat="1" applyFont="1" applyBorder="1" applyAlignment="1" applyProtection="1">
      <alignment horizontal="center" vertical="center"/>
    </xf>
    <xf numFmtId="0" fontId="79" fillId="0" borderId="24" xfId="0" applyFont="1" applyBorder="1" applyAlignment="1" applyProtection="1">
      <alignment horizontal="center" vertical="center"/>
    </xf>
    <xf numFmtId="3" fontId="79" fillId="0" borderId="25" xfId="0" applyNumberFormat="1" applyFont="1" applyBorder="1" applyAlignment="1" applyProtection="1">
      <alignment horizontal="center" vertical="center"/>
    </xf>
    <xf numFmtId="0" fontId="79" fillId="0" borderId="25" xfId="0" applyFont="1" applyBorder="1" applyAlignment="1" applyProtection="1">
      <alignment horizontal="center" vertical="center"/>
    </xf>
    <xf numFmtId="166" fontId="79" fillId="0" borderId="25" xfId="1" applyNumberFormat="1" applyFont="1" applyBorder="1" applyAlignment="1" applyProtection="1">
      <alignment horizontal="center" vertical="center" wrapText="1"/>
    </xf>
    <xf numFmtId="0" fontId="59" fillId="27" borderId="2" xfId="0" applyFont="1" applyFill="1" applyBorder="1" applyAlignment="1" applyProtection="1">
      <alignment horizontal="center" vertical="center"/>
    </xf>
    <xf numFmtId="0" fontId="79" fillId="0" borderId="24" xfId="0" applyFont="1" applyFill="1" applyBorder="1" applyAlignment="1" applyProtection="1">
      <alignment vertical="center"/>
    </xf>
    <xf numFmtId="0" fontId="79" fillId="0" borderId="27" xfId="0" quotePrefix="1" applyFont="1" applyBorder="1" applyAlignment="1" applyProtection="1">
      <alignment horizontal="center" vertical="center"/>
    </xf>
    <xf numFmtId="0" fontId="79" fillId="0" borderId="25" xfId="0" applyFont="1" applyFill="1" applyBorder="1" applyAlignment="1" applyProtection="1">
      <alignment vertical="center"/>
    </xf>
    <xf numFmtId="0" fontId="79" fillId="0" borderId="0" xfId="0" applyFont="1" applyFill="1" applyBorder="1" applyAlignment="1" applyProtection="1">
      <alignment horizontal="center" vertical="center"/>
    </xf>
    <xf numFmtId="175" fontId="79" fillId="0" borderId="0" xfId="0" applyNumberFormat="1" applyFont="1" applyFill="1" applyBorder="1" applyAlignment="1" applyProtection="1">
      <alignment horizontal="center" vertical="center"/>
    </xf>
    <xf numFmtId="0" fontId="79" fillId="0" borderId="0" xfId="0" applyFont="1" applyFill="1" applyProtection="1"/>
    <xf numFmtId="0" fontId="59" fillId="0" borderId="0" xfId="0" applyFont="1" applyBorder="1" applyAlignment="1" applyProtection="1">
      <alignment horizontal="center" vertical="center" wrapText="1"/>
    </xf>
    <xf numFmtId="166" fontId="109" fillId="0" borderId="0" xfId="1" applyNumberFormat="1" applyFont="1" applyFill="1" applyBorder="1" applyAlignment="1" applyProtection="1">
      <alignment horizontal="center" vertical="center" wrapText="1"/>
    </xf>
    <xf numFmtId="3" fontId="10" fillId="0" borderId="0" xfId="1" applyNumberFormat="1"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center"/>
    </xf>
    <xf numFmtId="0" fontId="109" fillId="0" borderId="0" xfId="0" applyFont="1" applyFill="1" applyBorder="1" applyAlignment="1" applyProtection="1">
      <alignment horizontal="center" vertical="center" wrapText="1"/>
    </xf>
    <xf numFmtId="0" fontId="10" fillId="0" borderId="0" xfId="0" applyFont="1" applyFill="1" applyBorder="1" applyProtection="1"/>
    <xf numFmtId="166" fontId="59" fillId="0" borderId="23" xfId="1" applyNumberFormat="1" applyFont="1" applyFill="1" applyBorder="1" applyAlignment="1" applyProtection="1">
      <alignment horizontal="center" vertical="center" wrapText="1"/>
    </xf>
    <xf numFmtId="175" fontId="79" fillId="0" borderId="23" xfId="1" applyNumberFormat="1" applyFont="1" applyFill="1" applyBorder="1" applyAlignment="1" applyProtection="1">
      <alignment horizontal="center" vertical="center" wrapText="1"/>
    </xf>
    <xf numFmtId="3" fontId="79" fillId="0" borderId="23" xfId="1" applyNumberFormat="1" applyFont="1" applyBorder="1" applyAlignment="1" applyProtection="1">
      <alignment horizontal="center" vertical="center" wrapText="1"/>
    </xf>
    <xf numFmtId="0" fontId="79" fillId="0" borderId="23" xfId="0" applyFont="1" applyBorder="1" applyAlignment="1" applyProtection="1">
      <alignment horizontal="center" vertical="center"/>
    </xf>
    <xf numFmtId="166" fontId="59" fillId="0" borderId="24" xfId="1" applyNumberFormat="1" applyFont="1" applyFill="1" applyBorder="1" applyAlignment="1" applyProtection="1">
      <alignment horizontal="center" vertical="center" wrapText="1"/>
    </xf>
    <xf numFmtId="175" fontId="79" fillId="0" borderId="24" xfId="1" applyNumberFormat="1" applyFont="1" applyFill="1" applyBorder="1" applyAlignment="1" applyProtection="1">
      <alignment horizontal="center" vertical="center" wrapText="1"/>
    </xf>
    <xf numFmtId="3" fontId="79" fillId="0" borderId="24" xfId="1" applyNumberFormat="1" applyFont="1" applyBorder="1" applyAlignment="1" applyProtection="1">
      <alignment horizontal="center" vertical="center" wrapText="1"/>
    </xf>
    <xf numFmtId="166" fontId="59" fillId="0" borderId="25" xfId="1" applyNumberFormat="1" applyFont="1" applyFill="1" applyBorder="1" applyAlignment="1" applyProtection="1">
      <alignment horizontal="center" vertical="center" wrapText="1"/>
    </xf>
    <xf numFmtId="175" fontId="79" fillId="0" borderId="25" xfId="1" applyNumberFormat="1" applyFont="1" applyFill="1" applyBorder="1" applyAlignment="1" applyProtection="1">
      <alignment horizontal="center" vertical="center" wrapText="1"/>
    </xf>
    <xf numFmtId="3" fontId="79" fillId="0" borderId="25" xfId="1" applyNumberFormat="1" applyFont="1" applyBorder="1" applyAlignment="1" applyProtection="1">
      <alignment horizontal="center" vertical="center" wrapText="1"/>
    </xf>
    <xf numFmtId="3" fontId="10" fillId="0" borderId="0" xfId="1" applyNumberFormat="1"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59" fillId="27" borderId="2" xfId="0" applyFont="1" applyFill="1" applyBorder="1" applyAlignment="1" applyProtection="1">
      <alignment vertical="center"/>
    </xf>
    <xf numFmtId="165" fontId="79" fillId="0" borderId="23" xfId="0" applyNumberFormat="1" applyFont="1" applyFill="1" applyBorder="1" applyAlignment="1" applyProtection="1">
      <alignment horizontal="center" vertical="center"/>
    </xf>
    <xf numFmtId="175" fontId="79" fillId="0" borderId="22" xfId="1" applyNumberFormat="1" applyFont="1" applyFill="1" applyBorder="1" applyAlignment="1" applyProtection="1">
      <alignment horizontal="center" vertical="center" wrapText="1"/>
    </xf>
    <xf numFmtId="166" fontId="59" fillId="0" borderId="27" xfId="1" applyNumberFormat="1" applyFont="1" applyFill="1" applyBorder="1" applyAlignment="1" applyProtection="1">
      <alignment horizontal="center" vertical="center" wrapText="1"/>
    </xf>
    <xf numFmtId="165" fontId="79" fillId="0" borderId="27" xfId="0" applyNumberFormat="1" applyFont="1" applyFill="1" applyBorder="1" applyAlignment="1" applyProtection="1">
      <alignment horizontal="center" vertical="center"/>
    </xf>
    <xf numFmtId="165" fontId="79" fillId="0" borderId="24" xfId="0" applyNumberFormat="1" applyFont="1" applyFill="1" applyBorder="1" applyAlignment="1" applyProtection="1">
      <alignment horizontal="center" vertical="center"/>
    </xf>
    <xf numFmtId="165" fontId="111" fillId="0" borderId="24" xfId="1" applyNumberFormat="1" applyFont="1" applyFill="1" applyBorder="1" applyAlignment="1" applyProtection="1">
      <alignment horizontal="center" vertical="center" wrapText="1"/>
    </xf>
    <xf numFmtId="175" fontId="79" fillId="0" borderId="52" xfId="1" applyNumberFormat="1" applyFont="1" applyFill="1" applyBorder="1" applyAlignment="1" applyProtection="1">
      <alignment horizontal="center" vertical="center" wrapText="1"/>
    </xf>
    <xf numFmtId="175" fontId="79" fillId="0" borderId="34" xfId="1" applyNumberFormat="1" applyFont="1" applyFill="1" applyBorder="1" applyAlignment="1" applyProtection="1">
      <alignment horizontal="center" vertical="center" wrapText="1"/>
    </xf>
    <xf numFmtId="165" fontId="111" fillId="0" borderId="25" xfId="1" applyNumberFormat="1" applyFont="1" applyFill="1" applyBorder="1" applyAlignment="1" applyProtection="1">
      <alignment horizontal="center" vertical="center" wrapText="1"/>
    </xf>
    <xf numFmtId="165" fontId="111" fillId="0" borderId="27" xfId="1" applyNumberFormat="1" applyFont="1" applyFill="1" applyBorder="1" applyAlignment="1" applyProtection="1">
      <alignment horizontal="center" vertical="center" wrapText="1"/>
    </xf>
    <xf numFmtId="0" fontId="79" fillId="0" borderId="31" xfId="0" quotePrefix="1" applyFont="1" applyFill="1" applyBorder="1" applyAlignment="1" applyProtection="1">
      <alignment horizontal="center" vertical="center" wrapText="1"/>
    </xf>
    <xf numFmtId="0" fontId="100" fillId="0" borderId="0" xfId="0" applyFont="1" applyProtection="1"/>
    <xf numFmtId="9" fontId="100" fillId="0" borderId="0" xfId="0" applyNumberFormat="1" applyFont="1" applyProtection="1"/>
    <xf numFmtId="0" fontId="100" fillId="0" borderId="0" xfId="0" applyFont="1" applyAlignment="1" applyProtection="1">
      <alignment horizontal="left"/>
    </xf>
    <xf numFmtId="0" fontId="100" fillId="0" borderId="26" xfId="0" applyFont="1" applyBorder="1" applyAlignment="1" applyProtection="1">
      <alignment horizontal="center"/>
    </xf>
    <xf numFmtId="9" fontId="100" fillId="0" borderId="39" xfId="0" applyNumberFormat="1" applyFont="1" applyBorder="1" applyAlignment="1" applyProtection="1">
      <alignment horizontal="center"/>
    </xf>
    <xf numFmtId="9" fontId="100" fillId="0" borderId="33" xfId="0" applyNumberFormat="1" applyFont="1" applyBorder="1" applyAlignment="1" applyProtection="1">
      <alignment horizontal="center"/>
    </xf>
    <xf numFmtId="0" fontId="100" fillId="0" borderId="47" xfId="0" applyFont="1" applyBorder="1" applyAlignment="1" applyProtection="1">
      <alignment horizontal="left"/>
    </xf>
    <xf numFmtId="9" fontId="100" fillId="0" borderId="0" xfId="0" applyNumberFormat="1" applyFont="1" applyBorder="1" applyAlignment="1" applyProtection="1">
      <alignment horizontal="center"/>
    </xf>
    <xf numFmtId="9" fontId="100" fillId="0" borderId="29" xfId="0" applyNumberFormat="1" applyFont="1" applyBorder="1" applyAlignment="1" applyProtection="1">
      <alignment horizontal="center"/>
    </xf>
    <xf numFmtId="0" fontId="100" fillId="0" borderId="48" xfId="0" applyFont="1" applyBorder="1" applyAlignment="1" applyProtection="1">
      <alignment horizontal="left"/>
    </xf>
    <xf numFmtId="9" fontId="100" fillId="0" borderId="28" xfId="0" applyNumberFormat="1" applyFont="1" applyBorder="1" applyAlignment="1" applyProtection="1">
      <alignment horizontal="center"/>
    </xf>
    <xf numFmtId="9" fontId="100" fillId="0" borderId="49" xfId="0" applyNumberFormat="1" applyFont="1" applyBorder="1" applyAlignment="1" applyProtection="1">
      <alignment horizontal="center"/>
    </xf>
    <xf numFmtId="0" fontId="100" fillId="0" borderId="0" xfId="0" applyFont="1" applyBorder="1" applyProtection="1"/>
    <xf numFmtId="0" fontId="10" fillId="0" borderId="0" xfId="0" applyFont="1"/>
    <xf numFmtId="0" fontId="10" fillId="34" borderId="2" xfId="0" applyFont="1" applyFill="1" applyBorder="1" applyAlignment="1" applyProtection="1">
      <alignment horizontal="center" vertical="center" wrapText="1"/>
    </xf>
    <xf numFmtId="0" fontId="112" fillId="34" borderId="2" xfId="0" applyFont="1" applyFill="1" applyBorder="1" applyAlignment="1" applyProtection="1">
      <alignment horizontal="center" vertical="center" wrapText="1"/>
    </xf>
    <xf numFmtId="0" fontId="10" fillId="0" borderId="2" xfId="0" applyFont="1" applyBorder="1"/>
    <xf numFmtId="0" fontId="79" fillId="0" borderId="2" xfId="0" applyFont="1" applyBorder="1" applyProtection="1"/>
    <xf numFmtId="0" fontId="10" fillId="20" borderId="2" xfId="0" applyFont="1" applyFill="1" applyBorder="1" applyAlignment="1" applyProtection="1">
      <alignment horizontal="center"/>
    </xf>
    <xf numFmtId="0" fontId="10" fillId="0" borderId="2" xfId="0" applyFont="1" applyBorder="1" applyAlignment="1" applyProtection="1">
      <alignment horizontal="center"/>
    </xf>
    <xf numFmtId="164" fontId="10" fillId="0" borderId="2" xfId="0" applyNumberFormat="1" applyFont="1" applyBorder="1" applyAlignment="1" applyProtection="1">
      <alignment horizontal="center"/>
    </xf>
    <xf numFmtId="0" fontId="10" fillId="0" borderId="2" xfId="0" applyFont="1" applyFill="1" applyBorder="1" applyAlignment="1" applyProtection="1">
      <alignment horizontal="left"/>
    </xf>
    <xf numFmtId="0" fontId="100" fillId="0" borderId="2" xfId="0" applyFont="1" applyBorder="1" applyProtection="1"/>
    <xf numFmtId="164" fontId="100" fillId="0" borderId="2" xfId="0" applyNumberFormat="1" applyFont="1" applyBorder="1" applyProtection="1"/>
    <xf numFmtId="0" fontId="10" fillId="0" borderId="22" xfId="0" applyFont="1" applyBorder="1"/>
    <xf numFmtId="0" fontId="51" fillId="0" borderId="0" xfId="0" applyFont="1" applyFill="1" applyAlignment="1">
      <alignment vertical="center"/>
    </xf>
    <xf numFmtId="3" fontId="51" fillId="28" borderId="0" xfId="0" applyNumberFormat="1" applyFont="1" applyFill="1" applyAlignment="1">
      <alignment horizontal="center" vertical="center"/>
    </xf>
    <xf numFmtId="0" fontId="51" fillId="0" borderId="0" xfId="0" applyFont="1" applyFill="1" applyAlignment="1">
      <alignment horizontal="left"/>
    </xf>
    <xf numFmtId="9" fontId="51" fillId="28" borderId="0" xfId="2" applyFont="1" applyFill="1" applyAlignment="1">
      <alignment horizontal="center" vertical="center"/>
    </xf>
    <xf numFmtId="9" fontId="51" fillId="23" borderId="0" xfId="2" applyFont="1" applyFill="1" applyAlignment="1">
      <alignment horizontal="center" vertical="center"/>
    </xf>
    <xf numFmtId="9" fontId="51" fillId="28" borderId="0" xfId="2" applyFont="1" applyFill="1" applyAlignment="1">
      <alignment horizontal="center"/>
    </xf>
    <xf numFmtId="1" fontId="51" fillId="28" borderId="0" xfId="2" applyNumberFormat="1" applyFont="1" applyFill="1" applyAlignment="1">
      <alignment horizontal="center"/>
    </xf>
    <xf numFmtId="10" fontId="51" fillId="0" borderId="0" xfId="0" applyNumberFormat="1" applyFont="1"/>
    <xf numFmtId="0" fontId="51" fillId="0" borderId="0" xfId="0" applyFont="1" applyAlignment="1">
      <alignment horizontal="center" vertical="center" wrapText="1"/>
    </xf>
    <xf numFmtId="164" fontId="51" fillId="25" borderId="0" xfId="1" applyFont="1" applyFill="1"/>
    <xf numFmtId="0" fontId="51" fillId="0" borderId="0" xfId="0" applyFont="1" applyBorder="1"/>
    <xf numFmtId="0" fontId="51" fillId="0" borderId="0" xfId="0" applyFont="1" applyBorder="1" applyAlignment="1">
      <alignment horizontal="right"/>
    </xf>
    <xf numFmtId="0" fontId="79" fillId="0" borderId="0" xfId="0" applyFont="1" applyFill="1" applyBorder="1" applyAlignment="1">
      <alignment horizontal="left" vertical="center" wrapText="1"/>
    </xf>
    <xf numFmtId="0" fontId="79" fillId="0" borderId="2" xfId="0" applyFont="1" applyFill="1" applyBorder="1" applyAlignment="1">
      <alignment vertical="center" wrapText="1"/>
    </xf>
    <xf numFmtId="0" fontId="79" fillId="0" borderId="3" xfId="0" applyFont="1" applyFill="1" applyBorder="1" applyAlignment="1">
      <alignment vertical="center" wrapText="1"/>
    </xf>
    <xf numFmtId="0" fontId="79" fillId="0" borderId="3" xfId="0" quotePrefix="1" applyFont="1" applyBorder="1" applyAlignment="1">
      <alignment horizontal="center" vertical="center"/>
    </xf>
    <xf numFmtId="3" fontId="79" fillId="0" borderId="25" xfId="0" applyNumberFormat="1" applyFont="1" applyFill="1" applyBorder="1" applyAlignment="1">
      <alignment horizontal="center" vertical="center"/>
    </xf>
    <xf numFmtId="0" fontId="51" fillId="0" borderId="61" xfId="0" applyFont="1" applyBorder="1" applyAlignment="1">
      <alignment vertical="center"/>
    </xf>
    <xf numFmtId="0" fontId="61" fillId="0" borderId="52" xfId="0" applyFont="1" applyFill="1" applyBorder="1" applyAlignment="1">
      <alignment horizontal="center" vertical="center" wrapText="1"/>
    </xf>
    <xf numFmtId="0" fontId="61" fillId="0" borderId="62" xfId="0" applyFont="1" applyFill="1" applyBorder="1" applyAlignment="1">
      <alignment horizontal="center" vertical="center" wrapText="1"/>
    </xf>
    <xf numFmtId="0" fontId="51" fillId="0" borderId="1" xfId="0" applyFont="1" applyBorder="1" applyAlignment="1">
      <alignment vertical="center"/>
    </xf>
    <xf numFmtId="9" fontId="51" fillId="0" borderId="2" xfId="2" applyFont="1" applyBorder="1" applyAlignment="1">
      <alignment horizontal="center" vertical="center"/>
    </xf>
    <xf numFmtId="9" fontId="51" fillId="0" borderId="57" xfId="2" applyFont="1" applyBorder="1" applyAlignment="1">
      <alignment horizontal="center" vertical="center"/>
    </xf>
    <xf numFmtId="3" fontId="51" fillId="0" borderId="2" xfId="0" applyNumberFormat="1" applyFont="1" applyBorder="1" applyAlignment="1">
      <alignment horizontal="center" vertical="center"/>
    </xf>
    <xf numFmtId="3" fontId="51" fillId="0" borderId="57" xfId="0" applyNumberFormat="1" applyFont="1" applyBorder="1" applyAlignment="1">
      <alignment horizontal="center" vertical="center"/>
    </xf>
    <xf numFmtId="0" fontId="51" fillId="0" borderId="72" xfId="0" applyFont="1" applyBorder="1" applyAlignment="1">
      <alignment vertical="center"/>
    </xf>
    <xf numFmtId="10" fontId="51" fillId="0" borderId="22" xfId="2" applyNumberFormat="1" applyFont="1" applyBorder="1" applyAlignment="1">
      <alignment horizontal="center" vertical="center"/>
    </xf>
    <xf numFmtId="10" fontId="51" fillId="0" borderId="56" xfId="2" applyNumberFormat="1" applyFont="1" applyBorder="1" applyAlignment="1">
      <alignment horizontal="center" vertical="center"/>
    </xf>
    <xf numFmtId="173" fontId="51" fillId="0" borderId="2" xfId="0" applyNumberFormat="1" applyFont="1" applyBorder="1" applyAlignment="1">
      <alignment horizontal="center" vertical="center"/>
    </xf>
    <xf numFmtId="173" fontId="51" fillId="0" borderId="57" xfId="0" applyNumberFormat="1" applyFont="1" applyBorder="1" applyAlignment="1">
      <alignment horizontal="center" vertical="center"/>
    </xf>
    <xf numFmtId="173" fontId="51" fillId="0" borderId="22" xfId="0" applyNumberFormat="1" applyFont="1" applyBorder="1" applyAlignment="1">
      <alignment horizontal="center" vertical="center"/>
    </xf>
    <xf numFmtId="173" fontId="51" fillId="0" borderId="56" xfId="0" applyNumberFormat="1" applyFont="1" applyBorder="1" applyAlignment="1">
      <alignment horizontal="center" vertical="center"/>
    </xf>
    <xf numFmtId="0" fontId="51" fillId="0" borderId="58" xfId="0" applyFont="1" applyBorder="1" applyAlignment="1">
      <alignment vertical="center"/>
    </xf>
    <xf numFmtId="3" fontId="51" fillId="0" borderId="59" xfId="0" applyNumberFormat="1" applyFont="1" applyBorder="1" applyAlignment="1">
      <alignment horizontal="center" vertical="center"/>
    </xf>
    <xf numFmtId="3" fontId="51" fillId="0" borderId="60" xfId="0" applyNumberFormat="1" applyFont="1" applyBorder="1" applyAlignment="1">
      <alignment horizontal="center" vertical="center"/>
    </xf>
    <xf numFmtId="0" fontId="51" fillId="0" borderId="69" xfId="0" applyFont="1" applyBorder="1" applyAlignment="1">
      <alignment vertical="center"/>
    </xf>
    <xf numFmtId="0" fontId="61" fillId="0" borderId="70" xfId="0" applyFont="1" applyFill="1" applyBorder="1" applyAlignment="1">
      <alignment horizontal="center" vertical="center" wrapText="1"/>
    </xf>
    <xf numFmtId="0" fontId="61" fillId="0" borderId="71" xfId="0" applyFont="1" applyFill="1" applyBorder="1" applyAlignment="1">
      <alignment horizontal="center" vertical="center" wrapText="1"/>
    </xf>
    <xf numFmtId="10" fontId="51" fillId="0" borderId="59" xfId="2" applyNumberFormat="1" applyFont="1" applyBorder="1" applyAlignment="1">
      <alignment horizontal="center" vertical="center"/>
    </xf>
    <xf numFmtId="10" fontId="51" fillId="0" borderId="60" xfId="2" applyNumberFormat="1" applyFont="1" applyBorder="1" applyAlignment="1">
      <alignment horizontal="center" vertical="center"/>
    </xf>
    <xf numFmtId="0" fontId="61" fillId="0" borderId="0" xfId="0" applyFont="1" applyFill="1" applyAlignment="1">
      <alignment horizontal="center"/>
    </xf>
    <xf numFmtId="0" fontId="100" fillId="0" borderId="0" xfId="0" applyFont="1"/>
    <xf numFmtId="176" fontId="51" fillId="25" borderId="0" xfId="0" applyNumberFormat="1" applyFont="1" applyFill="1"/>
    <xf numFmtId="0" fontId="116" fillId="0" borderId="0" xfId="0" applyFont="1" applyFill="1" applyBorder="1" applyAlignment="1">
      <alignment horizontal="center"/>
    </xf>
    <xf numFmtId="179" fontId="51" fillId="25" borderId="0" xfId="0" applyNumberFormat="1" applyFont="1" applyFill="1" applyBorder="1" applyAlignment="1">
      <alignment horizontal="center"/>
    </xf>
    <xf numFmtId="166" fontId="51" fillId="25" borderId="0" xfId="1" applyNumberFormat="1" applyFont="1" applyFill="1" applyBorder="1" applyAlignment="1"/>
    <xf numFmtId="9" fontId="51" fillId="28" borderId="0" xfId="2" applyFont="1" applyFill="1" applyBorder="1"/>
    <xf numFmtId="0" fontId="51" fillId="23" borderId="0" xfId="0" applyFont="1" applyFill="1" applyBorder="1"/>
    <xf numFmtId="0" fontId="51" fillId="23" borderId="0" xfId="0" applyFont="1" applyFill="1"/>
    <xf numFmtId="166" fontId="51" fillId="28" borderId="0" xfId="1271" applyNumberFormat="1" applyFont="1" applyFill="1" applyBorder="1"/>
    <xf numFmtId="183" fontId="51" fillId="28" borderId="0" xfId="2" applyNumberFormat="1" applyFont="1" applyFill="1" applyBorder="1"/>
    <xf numFmtId="2" fontId="51" fillId="25" borderId="0" xfId="0" applyNumberFormat="1" applyFont="1" applyFill="1" applyBorder="1"/>
    <xf numFmtId="166" fontId="51" fillId="25" borderId="0" xfId="1271" applyNumberFormat="1" applyFont="1" applyFill="1" applyBorder="1"/>
    <xf numFmtId="9" fontId="51" fillId="25" borderId="0" xfId="2" applyNumberFormat="1" applyFont="1" applyFill="1" applyBorder="1"/>
    <xf numFmtId="0" fontId="51" fillId="0" borderId="47" xfId="0" applyFont="1" applyBorder="1"/>
    <xf numFmtId="0" fontId="61" fillId="21" borderId="0" xfId="0" applyFont="1" applyFill="1" applyBorder="1" applyAlignment="1">
      <alignment horizontal="center"/>
    </xf>
    <xf numFmtId="166" fontId="61" fillId="0" borderId="0" xfId="1271" applyNumberFormat="1" applyFont="1" applyFill="1" applyBorder="1"/>
    <xf numFmtId="0" fontId="61" fillId="0" borderId="47" xfId="0" applyFont="1" applyBorder="1"/>
    <xf numFmtId="166" fontId="51" fillId="0" borderId="0" xfId="1271" applyNumberFormat="1" applyFont="1" applyBorder="1"/>
    <xf numFmtId="3" fontId="79" fillId="0" borderId="23" xfId="1" applyNumberFormat="1" applyFont="1" applyFill="1" applyBorder="1" applyAlignment="1" applyProtection="1">
      <alignment horizontal="center" vertical="center" wrapText="1"/>
    </xf>
    <xf numFmtId="3" fontId="79" fillId="0" borderId="24" xfId="1" applyNumberFormat="1" applyFont="1" applyFill="1" applyBorder="1" applyAlignment="1" applyProtection="1">
      <alignment horizontal="center" vertical="center" wrapText="1"/>
    </xf>
    <xf numFmtId="3" fontId="79" fillId="0" borderId="25" xfId="1" applyNumberFormat="1" applyFont="1" applyFill="1" applyBorder="1" applyAlignment="1" applyProtection="1">
      <alignment horizontal="center" vertical="center" wrapText="1"/>
    </xf>
    <xf numFmtId="0" fontId="59" fillId="45" borderId="0" xfId="0" applyFont="1" applyFill="1" applyBorder="1" applyAlignment="1" applyProtection="1">
      <alignment vertical="center"/>
    </xf>
    <xf numFmtId="0" fontId="59" fillId="0" borderId="0" xfId="0" applyFont="1" applyFill="1" applyBorder="1" applyAlignment="1" applyProtection="1">
      <alignment vertical="center" wrapText="1"/>
    </xf>
    <xf numFmtId="0" fontId="59" fillId="0" borderId="32" xfId="0" applyFont="1" applyFill="1" applyBorder="1" applyAlignment="1" applyProtection="1">
      <alignment vertical="center" wrapText="1"/>
    </xf>
    <xf numFmtId="2" fontId="0" fillId="0" borderId="2" xfId="2" applyNumberFormat="1" applyFont="1" applyBorder="1"/>
    <xf numFmtId="0" fontId="48" fillId="0" borderId="2" xfId="0" applyFont="1" applyBorder="1" applyAlignment="1">
      <alignment horizontal="center"/>
    </xf>
    <xf numFmtId="179" fontId="0" fillId="0" borderId="2" xfId="0" applyNumberFormat="1" applyBorder="1"/>
    <xf numFmtId="179" fontId="51" fillId="23" borderId="0" xfId="2" applyNumberFormat="1" applyFont="1" applyFill="1" applyAlignment="1">
      <alignment horizontal="center"/>
    </xf>
    <xf numFmtId="179" fontId="51" fillId="28" borderId="0" xfId="2" applyNumberFormat="1" applyFont="1" applyFill="1" applyAlignment="1">
      <alignment horizontal="center"/>
    </xf>
    <xf numFmtId="0" fontId="79" fillId="0" borderId="34" xfId="0" applyFont="1" applyBorder="1" applyAlignment="1" applyProtection="1">
      <alignment horizontal="center" vertical="center"/>
    </xf>
    <xf numFmtId="0" fontId="79" fillId="0" borderId="32" xfId="0" quotePrefix="1" applyFont="1" applyFill="1" applyBorder="1" applyAlignment="1" applyProtection="1">
      <alignment horizontal="center" vertical="center"/>
    </xf>
    <xf numFmtId="0" fontId="42" fillId="0" borderId="2" xfId="0" applyFont="1" applyFill="1" applyBorder="1" applyAlignment="1">
      <alignment vertical="center"/>
    </xf>
    <xf numFmtId="9" fontId="42" fillId="0" borderId="2" xfId="2" applyFont="1" applyFill="1" applyBorder="1" applyAlignment="1">
      <alignment horizontal="center" vertical="center"/>
    </xf>
    <xf numFmtId="9" fontId="42" fillId="0" borderId="2" xfId="2" applyFont="1" applyBorder="1" applyAlignment="1" applyProtection="1">
      <alignment horizontal="center" vertical="center"/>
    </xf>
    <xf numFmtId="0" fontId="47" fillId="21" borderId="47" xfId="0" applyFont="1" applyFill="1" applyBorder="1" applyAlignment="1">
      <alignment horizontal="left"/>
    </xf>
    <xf numFmtId="0" fontId="59" fillId="0" borderId="30" xfId="0" applyFont="1" applyFill="1" applyBorder="1" applyAlignment="1" applyProtection="1">
      <alignment vertical="center" wrapText="1"/>
    </xf>
    <xf numFmtId="3" fontId="79" fillId="0" borderId="23" xfId="0" applyNumberFormat="1" applyFont="1" applyBorder="1" applyAlignment="1">
      <alignment horizontal="center" vertical="center"/>
    </xf>
    <xf numFmtId="3" fontId="79" fillId="0" borderId="25" xfId="0" applyNumberFormat="1" applyFont="1" applyBorder="1" applyAlignment="1">
      <alignment horizontal="center" vertical="center"/>
    </xf>
    <xf numFmtId="0" fontId="42" fillId="0" borderId="0" xfId="0" applyFont="1" applyBorder="1" applyAlignment="1">
      <alignment horizontal="left" wrapText="1"/>
    </xf>
    <xf numFmtId="0" fontId="95" fillId="0" borderId="0" xfId="0" applyFont="1" applyBorder="1" applyAlignment="1">
      <alignment wrapText="1"/>
    </xf>
    <xf numFmtId="0" fontId="59" fillId="27" borderId="22" xfId="0" applyFont="1" applyFill="1" applyBorder="1" applyAlignment="1" applyProtection="1">
      <alignment horizontal="center" vertical="center" wrapText="1"/>
    </xf>
    <xf numFmtId="0" fontId="59" fillId="27" borderId="3" xfId="0" applyFont="1" applyFill="1" applyBorder="1" applyAlignment="1" applyProtection="1">
      <alignment horizontal="center" vertical="center" wrapText="1"/>
    </xf>
    <xf numFmtId="0" fontId="59" fillId="27" borderId="26" xfId="0" applyFont="1" applyFill="1" applyBorder="1" applyAlignment="1" applyProtection="1">
      <alignment horizontal="center" vertical="center" wrapText="1"/>
    </xf>
    <xf numFmtId="0" fontId="59" fillId="27" borderId="33" xfId="0" applyFont="1" applyFill="1" applyBorder="1" applyAlignment="1" applyProtection="1">
      <alignment horizontal="center" vertical="center" wrapText="1"/>
    </xf>
    <xf numFmtId="0" fontId="59" fillId="27" borderId="22" xfId="0" applyFont="1" applyFill="1" applyBorder="1" applyAlignment="1" applyProtection="1">
      <alignment horizontal="center" vertical="center"/>
    </xf>
    <xf numFmtId="0" fontId="59" fillId="27" borderId="3" xfId="0" applyFont="1" applyFill="1" applyBorder="1" applyAlignment="1" applyProtection="1">
      <alignment horizontal="center" vertical="center"/>
    </xf>
    <xf numFmtId="0" fontId="36" fillId="41" borderId="26" xfId="0" applyFont="1" applyFill="1" applyBorder="1" applyAlignment="1" applyProtection="1">
      <alignment horizontal="left" vertical="center"/>
    </xf>
    <xf numFmtId="0" fontId="36" fillId="41" borderId="39" xfId="0" applyFont="1" applyFill="1" applyBorder="1" applyAlignment="1" applyProtection="1">
      <alignment horizontal="left" vertical="center"/>
    </xf>
    <xf numFmtId="0" fontId="36" fillId="41" borderId="33" xfId="0" applyFont="1" applyFill="1" applyBorder="1" applyAlignment="1" applyProtection="1">
      <alignment horizontal="left" vertical="center"/>
    </xf>
    <xf numFmtId="0" fontId="42" fillId="42" borderId="26" xfId="0" applyFont="1" applyFill="1" applyBorder="1" applyAlignment="1" applyProtection="1">
      <alignment horizontal="center" vertical="center"/>
    </xf>
    <xf numFmtId="0" fontId="42" fillId="42" borderId="39" xfId="0" applyFont="1" applyFill="1" applyBorder="1" applyAlignment="1" applyProtection="1">
      <alignment horizontal="center" vertical="center"/>
    </xf>
    <xf numFmtId="0" fontId="42" fillId="42" borderId="33" xfId="0" applyFont="1" applyFill="1" applyBorder="1" applyAlignment="1" applyProtection="1">
      <alignment horizontal="center" vertical="center"/>
    </xf>
    <xf numFmtId="0" fontId="42" fillId="20" borderId="26" xfId="0" applyFont="1" applyFill="1" applyBorder="1" applyAlignment="1" applyProtection="1">
      <alignment horizontal="center" vertical="center" wrapText="1"/>
      <protection locked="0"/>
    </xf>
    <xf numFmtId="0" fontId="42" fillId="20" borderId="33" xfId="0" applyFont="1" applyFill="1" applyBorder="1" applyAlignment="1" applyProtection="1">
      <alignment horizontal="center" vertical="center" wrapText="1"/>
      <protection locked="0"/>
    </xf>
    <xf numFmtId="177" fontId="42" fillId="20" borderId="2" xfId="1" applyNumberFormat="1" applyFont="1" applyFill="1" applyBorder="1" applyAlignment="1" applyProtection="1">
      <alignment horizontal="center" vertical="center" wrapText="1"/>
      <protection locked="0"/>
    </xf>
    <xf numFmtId="0" fontId="36" fillId="27" borderId="26" xfId="0" applyFont="1" applyFill="1" applyBorder="1" applyAlignment="1" applyProtection="1">
      <alignment horizontal="center" vertical="center" wrapText="1"/>
    </xf>
    <xf numFmtId="0" fontId="36" fillId="27" borderId="33" xfId="0" applyFont="1" applyFill="1" applyBorder="1" applyAlignment="1" applyProtection="1">
      <alignment horizontal="center" vertical="center" wrapText="1"/>
    </xf>
    <xf numFmtId="0" fontId="91" fillId="0" borderId="22" xfId="0" applyFont="1" applyFill="1" applyBorder="1" applyAlignment="1" applyProtection="1">
      <alignment horizontal="center" vertical="center" wrapText="1"/>
    </xf>
    <xf numFmtId="0" fontId="91" fillId="0" borderId="52" xfId="0" applyFont="1" applyFill="1" applyBorder="1" applyAlignment="1" applyProtection="1">
      <alignment horizontal="center" vertical="center" wrapText="1"/>
    </xf>
    <xf numFmtId="0" fontId="91" fillId="0" borderId="3" xfId="0" applyFont="1" applyFill="1" applyBorder="1" applyAlignment="1" applyProtection="1">
      <alignment horizontal="center" vertical="center" wrapText="1"/>
    </xf>
    <xf numFmtId="0" fontId="59" fillId="27" borderId="44" xfId="0" applyFont="1" applyFill="1" applyBorder="1" applyAlignment="1" applyProtection="1">
      <alignment horizontal="center" vertical="center"/>
    </xf>
    <xf numFmtId="0" fontId="59" fillId="27" borderId="46" xfId="0" applyFont="1" applyFill="1" applyBorder="1" applyAlignment="1" applyProtection="1">
      <alignment horizontal="center" vertical="center"/>
    </xf>
    <xf numFmtId="177" fontId="79" fillId="20" borderId="30" xfId="1" applyNumberFormat="1" applyFont="1" applyFill="1" applyBorder="1" applyAlignment="1" applyProtection="1">
      <alignment horizontal="center" vertical="center" wrapText="1"/>
      <protection locked="0"/>
    </xf>
    <xf numFmtId="177" fontId="79" fillId="20" borderId="36" xfId="1" applyNumberFormat="1" applyFont="1" applyFill="1" applyBorder="1" applyAlignment="1" applyProtection="1">
      <alignment horizontal="center" vertical="center" wrapText="1"/>
      <protection locked="0"/>
    </xf>
    <xf numFmtId="177" fontId="79" fillId="20" borderId="31" xfId="1" applyNumberFormat="1" applyFont="1" applyFill="1" applyBorder="1" applyAlignment="1" applyProtection="1">
      <alignment horizontal="center" vertical="center" wrapText="1"/>
      <protection locked="0"/>
    </xf>
    <xf numFmtId="177" fontId="79" fillId="20" borderId="41" xfId="1" applyNumberFormat="1" applyFont="1" applyFill="1" applyBorder="1" applyAlignment="1" applyProtection="1">
      <alignment horizontal="center" vertical="center" wrapText="1"/>
      <protection locked="0"/>
    </xf>
    <xf numFmtId="0" fontId="42" fillId="20" borderId="26" xfId="0" applyFont="1" applyFill="1" applyBorder="1" applyAlignment="1" applyProtection="1">
      <alignment horizontal="center" vertical="center"/>
      <protection locked="0"/>
    </xf>
    <xf numFmtId="0" fontId="42" fillId="20" borderId="33" xfId="0" applyFont="1" applyFill="1" applyBorder="1" applyAlignment="1" applyProtection="1">
      <alignment horizontal="center" vertical="center"/>
      <protection locked="0"/>
    </xf>
    <xf numFmtId="177" fontId="42" fillId="20" borderId="26" xfId="1" applyNumberFormat="1" applyFont="1" applyFill="1" applyBorder="1" applyAlignment="1" applyProtection="1">
      <alignment horizontal="center" vertical="center" wrapText="1"/>
      <protection locked="0"/>
    </xf>
    <xf numFmtId="177" fontId="42" fillId="20" borderId="33" xfId="1" applyNumberFormat="1" applyFont="1" applyFill="1" applyBorder="1" applyAlignment="1" applyProtection="1">
      <alignment horizontal="center" vertical="center" wrapText="1"/>
      <protection locked="0"/>
    </xf>
    <xf numFmtId="177" fontId="79" fillId="20" borderId="48" xfId="1" applyNumberFormat="1" applyFont="1" applyFill="1" applyBorder="1" applyAlignment="1" applyProtection="1">
      <alignment horizontal="center" vertical="center" wrapText="1"/>
      <protection locked="0"/>
    </xf>
    <xf numFmtId="177" fontId="79" fillId="20" borderId="49" xfId="1" applyNumberFormat="1" applyFont="1" applyFill="1" applyBorder="1" applyAlignment="1" applyProtection="1">
      <alignment horizontal="center" vertical="center" wrapText="1"/>
      <protection locked="0"/>
    </xf>
    <xf numFmtId="166" fontId="109" fillId="0" borderId="26" xfId="1" applyNumberFormat="1" applyFont="1" applyFill="1" applyBorder="1" applyAlignment="1" applyProtection="1">
      <alignment horizontal="center" vertical="center" wrapText="1"/>
    </xf>
    <xf numFmtId="166" fontId="109" fillId="0" borderId="39" xfId="1" applyNumberFormat="1" applyFont="1" applyFill="1" applyBorder="1" applyAlignment="1" applyProtection="1">
      <alignment horizontal="center" vertical="center" wrapText="1"/>
    </xf>
    <xf numFmtId="166" fontId="109" fillId="0" borderId="33" xfId="1" applyNumberFormat="1" applyFont="1" applyFill="1" applyBorder="1" applyAlignment="1" applyProtection="1">
      <alignment horizontal="center" vertical="center" wrapText="1"/>
    </xf>
    <xf numFmtId="0" fontId="36" fillId="27" borderId="24" xfId="0" applyFont="1" applyFill="1" applyBorder="1" applyAlignment="1">
      <alignment horizontal="left" vertical="center"/>
    </xf>
    <xf numFmtId="0" fontId="36" fillId="27" borderId="25" xfId="0" applyFont="1" applyFill="1" applyBorder="1" applyAlignment="1">
      <alignment horizontal="left" vertical="center"/>
    </xf>
    <xf numFmtId="0" fontId="36" fillId="27" borderId="23" xfId="0" applyFont="1" applyFill="1" applyBorder="1" applyAlignment="1">
      <alignment horizontal="left" vertical="center"/>
    </xf>
    <xf numFmtId="0" fontId="40" fillId="23" borderId="0" xfId="0" applyFont="1" applyFill="1" applyAlignment="1" applyProtection="1">
      <alignment horizontal="center" vertical="center"/>
      <protection hidden="1"/>
    </xf>
    <xf numFmtId="0" fontId="41" fillId="26" borderId="14" xfId="0" applyFont="1" applyFill="1" applyBorder="1" applyAlignment="1" applyProtection="1">
      <alignment horizontal="center" vertical="center"/>
      <protection hidden="1"/>
    </xf>
    <xf numFmtId="0" fontId="41" fillId="26" borderId="15" xfId="0" applyFont="1" applyFill="1" applyBorder="1" applyAlignment="1" applyProtection="1">
      <alignment horizontal="center" vertical="center"/>
      <protection hidden="1"/>
    </xf>
    <xf numFmtId="0" fontId="41" fillId="26" borderId="16" xfId="0" applyFont="1" applyFill="1" applyBorder="1" applyAlignment="1" applyProtection="1">
      <alignment horizontal="center" vertical="center"/>
      <protection hidden="1"/>
    </xf>
    <xf numFmtId="0" fontId="40" fillId="0" borderId="0" xfId="0" applyFont="1" applyAlignment="1" applyProtection="1">
      <alignment horizontal="left" vertical="center" wrapText="1"/>
      <protection hidden="1"/>
    </xf>
    <xf numFmtId="0" fontId="40" fillId="0" borderId="0" xfId="0" applyFont="1" applyAlignment="1" applyProtection="1">
      <alignment horizontal="left" vertical="center"/>
      <protection hidden="1"/>
    </xf>
    <xf numFmtId="0" fontId="41" fillId="22" borderId="0" xfId="0" applyFont="1" applyFill="1" applyAlignment="1" applyProtection="1">
      <alignment horizontal="center" vertical="center"/>
      <protection hidden="1"/>
    </xf>
    <xf numFmtId="0" fontId="40" fillId="0" borderId="0" xfId="0" applyFont="1" applyAlignment="1" applyProtection="1">
      <alignment horizontal="center" vertical="center" wrapText="1"/>
      <protection hidden="1"/>
    </xf>
    <xf numFmtId="0" fontId="40" fillId="25" borderId="0" xfId="0" applyFont="1" applyFill="1" applyAlignment="1" applyProtection="1">
      <alignment horizontal="center" vertical="center"/>
      <protection hidden="1"/>
    </xf>
    <xf numFmtId="0" fontId="41" fillId="21" borderId="0" xfId="0" applyFont="1" applyFill="1" applyAlignment="1" applyProtection="1">
      <alignment horizontal="center" vertical="center"/>
      <protection hidden="1"/>
    </xf>
    <xf numFmtId="0" fontId="36" fillId="27" borderId="39" xfId="0" applyFont="1" applyFill="1" applyBorder="1" applyAlignment="1" applyProtection="1">
      <alignment horizontal="center" vertical="center" wrapText="1"/>
    </xf>
    <xf numFmtId="175" fontId="42" fillId="0" borderId="30" xfId="0" applyNumberFormat="1" applyFont="1" applyBorder="1" applyAlignment="1">
      <alignment horizontal="center" vertical="center"/>
    </xf>
    <xf numFmtId="175" fontId="42" fillId="0" borderId="35" xfId="0" applyNumberFormat="1" applyFont="1" applyBorder="1" applyAlignment="1">
      <alignment horizontal="center" vertical="center"/>
    </xf>
    <xf numFmtId="175" fontId="42" fillId="0" borderId="36" xfId="0" applyNumberFormat="1" applyFont="1" applyBorder="1" applyAlignment="1">
      <alignment horizontal="center" vertical="center"/>
    </xf>
    <xf numFmtId="175" fontId="42" fillId="0" borderId="32" xfId="0" applyNumberFormat="1" applyFont="1" applyBorder="1" applyAlignment="1">
      <alignment horizontal="center" vertical="center"/>
    </xf>
    <xf numFmtId="175" fontId="42" fillId="0" borderId="37" xfId="0" applyNumberFormat="1" applyFont="1" applyBorder="1" applyAlignment="1">
      <alignment horizontal="center" vertical="center"/>
    </xf>
    <xf numFmtId="175" fontId="42" fillId="0" borderId="38" xfId="0" applyNumberFormat="1" applyFont="1" applyBorder="1" applyAlignment="1">
      <alignment horizontal="center" vertical="center"/>
    </xf>
    <xf numFmtId="0" fontId="42" fillId="0" borderId="0" xfId="0" applyFont="1" applyFill="1" applyBorder="1" applyAlignment="1">
      <alignment horizontal="left" vertical="center" wrapText="1"/>
    </xf>
    <xf numFmtId="0" fontId="58" fillId="0" borderId="0" xfId="0" applyFont="1" applyAlignment="1">
      <alignment horizontal="left" wrapText="1"/>
    </xf>
    <xf numFmtId="0" fontId="42" fillId="0" borderId="0" xfId="0" applyFont="1" applyAlignment="1">
      <alignment horizontal="left" vertical="top" wrapText="1"/>
    </xf>
    <xf numFmtId="0" fontId="100" fillId="0" borderId="26" xfId="0" applyFont="1" applyBorder="1" applyAlignment="1" applyProtection="1">
      <alignment horizontal="center"/>
    </xf>
    <xf numFmtId="0" fontId="100" fillId="0" borderId="39" xfId="0" applyFont="1" applyBorder="1" applyAlignment="1" applyProtection="1">
      <alignment horizontal="center"/>
    </xf>
    <xf numFmtId="0" fontId="100" fillId="0" borderId="33" xfId="0" applyFont="1" applyBorder="1" applyAlignment="1" applyProtection="1">
      <alignment horizontal="center"/>
    </xf>
    <xf numFmtId="0" fontId="59" fillId="0" borderId="3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41" xfId="0" applyFont="1" applyFill="1" applyBorder="1" applyAlignment="1" applyProtection="1">
      <alignment horizontal="left" vertical="center" wrapText="1"/>
    </xf>
    <xf numFmtId="0" fontId="79" fillId="0" borderId="31" xfId="0" applyFont="1" applyFill="1" applyBorder="1" applyAlignment="1" applyProtection="1">
      <alignment horizontal="center" vertical="center"/>
    </xf>
    <xf numFmtId="0" fontId="79" fillId="0" borderId="40" xfId="0" applyFont="1" applyFill="1" applyBorder="1" applyAlignment="1" applyProtection="1">
      <alignment horizontal="center" vertical="center"/>
    </xf>
    <xf numFmtId="0" fontId="79" fillId="0" borderId="41"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2" fillId="0" borderId="41" xfId="0" applyFont="1" applyFill="1" applyBorder="1" applyAlignment="1" applyProtection="1">
      <alignment horizontal="center" vertical="center"/>
    </xf>
    <xf numFmtId="0" fontId="42" fillId="0" borderId="0" xfId="0" applyFont="1" applyFill="1" applyBorder="1" applyAlignment="1" applyProtection="1">
      <alignment horizontal="left" vertical="top" wrapText="1"/>
    </xf>
    <xf numFmtId="0" fontId="36" fillId="0" borderId="0" xfId="0" applyFont="1" applyFill="1" applyBorder="1" applyAlignment="1" applyProtection="1">
      <alignment horizontal="left" vertical="center" wrapText="1"/>
    </xf>
    <xf numFmtId="3" fontId="42" fillId="0" borderId="30" xfId="1" applyNumberFormat="1" applyFont="1" applyFill="1" applyBorder="1" applyAlignment="1" applyProtection="1">
      <alignment horizontal="center" vertical="center"/>
    </xf>
    <xf numFmtId="3" fontId="42" fillId="0" borderId="35" xfId="1" applyNumberFormat="1" applyFont="1" applyFill="1" applyBorder="1" applyAlignment="1" applyProtection="1">
      <alignment horizontal="center" vertical="center"/>
    </xf>
    <xf numFmtId="3" fontId="42" fillId="0" borderId="36" xfId="1" applyNumberFormat="1" applyFont="1" applyFill="1" applyBorder="1" applyAlignment="1" applyProtection="1">
      <alignment horizontal="center" vertical="center"/>
    </xf>
    <xf numFmtId="3" fontId="42" fillId="0" borderId="31" xfId="1" applyNumberFormat="1" applyFont="1" applyFill="1" applyBorder="1" applyAlignment="1" applyProtection="1">
      <alignment horizontal="center" vertical="center" wrapText="1"/>
    </xf>
    <xf numFmtId="3" fontId="42" fillId="0" borderId="40" xfId="1" applyNumberFormat="1" applyFont="1" applyFill="1" applyBorder="1" applyAlignment="1" applyProtection="1">
      <alignment horizontal="center" vertical="center" wrapText="1"/>
    </xf>
    <xf numFmtId="3" fontId="42" fillId="0" borderId="41" xfId="1" applyNumberFormat="1" applyFont="1" applyFill="1" applyBorder="1" applyAlignment="1" applyProtection="1">
      <alignment horizontal="center" vertical="center" wrapText="1"/>
    </xf>
    <xf numFmtId="9" fontId="84" fillId="0" borderId="31" xfId="0" applyNumberFormat="1" applyFont="1" applyBorder="1" applyAlignment="1">
      <alignment horizontal="center" vertical="center" wrapText="1"/>
    </xf>
    <xf numFmtId="9" fontId="84" fillId="0" borderId="41" xfId="0" applyNumberFormat="1" applyFont="1" applyBorder="1" applyAlignment="1">
      <alignment horizontal="center" vertical="center" wrapText="1"/>
    </xf>
    <xf numFmtId="0" fontId="40" fillId="0" borderId="28" xfId="0" applyFont="1" applyBorder="1" applyAlignment="1" applyProtection="1">
      <alignment horizontal="center"/>
    </xf>
    <xf numFmtId="0" fontId="58" fillId="0" borderId="0" xfId="0" applyFont="1" applyAlignment="1" applyProtection="1">
      <alignment horizontal="left" vertical="center" wrapText="1"/>
    </xf>
    <xf numFmtId="0" fontId="42" fillId="37" borderId="31" xfId="0" applyFont="1" applyFill="1" applyBorder="1" applyAlignment="1" applyProtection="1">
      <alignment horizontal="center" vertical="center"/>
    </xf>
    <xf numFmtId="0" fontId="42" fillId="37" borderId="40" xfId="0" applyFont="1" applyFill="1" applyBorder="1" applyAlignment="1" applyProtection="1">
      <alignment horizontal="center" vertical="center"/>
    </xf>
    <xf numFmtId="0" fontId="42" fillId="37" borderId="41" xfId="0" applyFont="1" applyFill="1" applyBorder="1" applyAlignment="1" applyProtection="1">
      <alignment horizontal="center" vertical="center"/>
    </xf>
    <xf numFmtId="0" fontId="36" fillId="27" borderId="26" xfId="0" applyFont="1" applyFill="1" applyBorder="1" applyAlignment="1" applyProtection="1">
      <alignment horizontal="center" vertical="center"/>
    </xf>
    <xf numFmtId="0" fontId="36" fillId="27" borderId="39" xfId="0" applyFont="1" applyFill="1" applyBorder="1" applyAlignment="1" applyProtection="1">
      <alignment horizontal="center" vertical="center"/>
    </xf>
    <xf numFmtId="0" fontId="36" fillId="27" borderId="33" xfId="0" applyFont="1" applyFill="1" applyBorder="1" applyAlignment="1" applyProtection="1">
      <alignment horizontal="center" vertical="center"/>
    </xf>
    <xf numFmtId="0" fontId="36" fillId="40" borderId="31" xfId="0" applyFont="1" applyFill="1" applyBorder="1" applyAlignment="1" applyProtection="1">
      <alignment horizontal="left" vertical="center" wrapText="1"/>
    </xf>
    <xf numFmtId="0" fontId="36" fillId="40" borderId="40" xfId="0" applyFont="1" applyFill="1" applyBorder="1" applyAlignment="1" applyProtection="1">
      <alignment horizontal="left" vertical="center" wrapText="1"/>
    </xf>
    <xf numFmtId="0" fontId="36" fillId="40" borderId="41" xfId="0" applyFont="1" applyFill="1" applyBorder="1" applyAlignment="1" applyProtection="1">
      <alignment horizontal="left" vertical="center" wrapText="1"/>
    </xf>
    <xf numFmtId="0" fontId="36" fillId="36" borderId="31" xfId="0" applyFont="1" applyFill="1" applyBorder="1" applyAlignment="1" applyProtection="1">
      <alignment horizontal="left" vertical="center" wrapText="1"/>
    </xf>
    <xf numFmtId="0" fontId="36" fillId="36" borderId="40" xfId="0" applyFont="1" applyFill="1" applyBorder="1" applyAlignment="1" applyProtection="1">
      <alignment horizontal="left" vertical="center" wrapText="1"/>
    </xf>
    <xf numFmtId="0" fontId="36" fillId="36" borderId="41" xfId="0" applyFont="1" applyFill="1" applyBorder="1" applyAlignment="1" applyProtection="1">
      <alignment horizontal="left" vertical="center" wrapText="1"/>
    </xf>
    <xf numFmtId="0" fontId="36" fillId="37" borderId="31" xfId="0" applyFont="1" applyFill="1" applyBorder="1" applyAlignment="1" applyProtection="1">
      <alignment horizontal="left" vertical="center" wrapText="1"/>
    </xf>
    <xf numFmtId="0" fontId="36" fillId="37" borderId="40" xfId="0" applyFont="1" applyFill="1" applyBorder="1" applyAlignment="1" applyProtection="1">
      <alignment horizontal="left" vertical="center" wrapText="1"/>
    </xf>
    <xf numFmtId="0" fontId="36" fillId="37" borderId="41" xfId="0" applyFont="1" applyFill="1" applyBorder="1" applyAlignment="1" applyProtection="1">
      <alignment horizontal="left" vertical="center" wrapText="1"/>
    </xf>
    <xf numFmtId="0" fontId="36" fillId="0" borderId="31" xfId="0" applyFont="1" applyFill="1" applyBorder="1" applyAlignment="1" applyProtection="1">
      <alignment horizontal="left" vertical="center" wrapText="1"/>
    </xf>
    <xf numFmtId="0" fontId="36" fillId="0" borderId="40" xfId="0" applyFont="1" applyFill="1" applyBorder="1" applyAlignment="1" applyProtection="1">
      <alignment horizontal="left" vertical="center" wrapText="1"/>
    </xf>
    <xf numFmtId="0" fontId="36" fillId="0" borderId="41" xfId="0" applyFont="1" applyFill="1" applyBorder="1" applyAlignment="1" applyProtection="1">
      <alignment horizontal="left" vertical="center" wrapText="1"/>
    </xf>
    <xf numFmtId="0" fontId="58" fillId="0" borderId="0" xfId="0" applyFont="1" applyAlignment="1">
      <alignment horizontal="left" vertical="center" wrapText="1"/>
    </xf>
    <xf numFmtId="0" fontId="42" fillId="0" borderId="0" xfId="0" applyFont="1" applyFill="1" applyBorder="1" applyAlignment="1" applyProtection="1">
      <alignment horizontal="left" vertical="center" wrapText="1"/>
    </xf>
    <xf numFmtId="0" fontId="84" fillId="0" borderId="23" xfId="0" applyFont="1" applyBorder="1" applyAlignment="1">
      <alignment horizontal="center" vertical="center" wrapText="1"/>
    </xf>
    <xf numFmtId="0" fontId="84" fillId="0" borderId="27" xfId="0" applyFont="1" applyBorder="1" applyAlignment="1">
      <alignment horizontal="center" vertical="center" wrapText="1"/>
    </xf>
    <xf numFmtId="0" fontId="84" fillId="0" borderId="24" xfId="0" applyFont="1" applyBorder="1" applyAlignment="1">
      <alignment horizontal="center" vertical="center" wrapText="1"/>
    </xf>
    <xf numFmtId="0" fontId="36" fillId="27" borderId="2" xfId="0" applyFont="1" applyFill="1" applyBorder="1" applyAlignment="1">
      <alignment horizontal="center" vertical="center" wrapText="1"/>
    </xf>
    <xf numFmtId="175" fontId="42" fillId="0" borderId="30" xfId="0" applyNumberFormat="1" applyFont="1" applyFill="1" applyBorder="1" applyAlignment="1" applyProtection="1">
      <alignment horizontal="left" vertical="center" wrapText="1"/>
    </xf>
    <xf numFmtId="175" fontId="42" fillId="0" borderId="35" xfId="0" applyNumberFormat="1" applyFont="1" applyFill="1" applyBorder="1" applyAlignment="1" applyProtection="1">
      <alignment horizontal="left" vertical="center" wrapText="1"/>
    </xf>
    <xf numFmtId="175" fontId="42" fillId="0" borderId="30" xfId="0" applyNumberFormat="1" applyFont="1" applyFill="1" applyBorder="1" applyAlignment="1" applyProtection="1">
      <alignment horizontal="center" vertical="center" wrapText="1"/>
    </xf>
    <xf numFmtId="175" fontId="42" fillId="0" borderId="35" xfId="0" applyNumberFormat="1" applyFont="1" applyFill="1" applyBorder="1" applyAlignment="1" applyProtection="1">
      <alignment horizontal="center" vertical="center" wrapText="1"/>
    </xf>
    <xf numFmtId="4" fontId="42" fillId="0" borderId="30" xfId="0" applyNumberFormat="1" applyFont="1" applyBorder="1" applyAlignment="1" applyProtection="1">
      <alignment horizontal="center" vertical="center"/>
    </xf>
    <xf numFmtId="4" fontId="42" fillId="0" borderId="35" xfId="0" applyNumberFormat="1" applyFont="1" applyBorder="1" applyAlignment="1" applyProtection="1">
      <alignment horizontal="center" vertical="center"/>
    </xf>
    <xf numFmtId="4" fontId="42" fillId="0" borderId="36" xfId="0" applyNumberFormat="1" applyFont="1" applyBorder="1" applyAlignment="1" applyProtection="1">
      <alignment horizontal="center" vertical="center"/>
    </xf>
    <xf numFmtId="0" fontId="36" fillId="31" borderId="2" xfId="0" applyFont="1" applyFill="1" applyBorder="1" applyAlignment="1">
      <alignment horizontal="center" vertical="center" wrapText="1"/>
    </xf>
    <xf numFmtId="4" fontId="42" fillId="0" borderId="32" xfId="0" applyNumberFormat="1" applyFont="1" applyBorder="1" applyAlignment="1" applyProtection="1">
      <alignment horizontal="center" vertical="center"/>
    </xf>
    <xf numFmtId="4" fontId="42" fillId="0" borderId="37" xfId="0" applyNumberFormat="1" applyFont="1" applyBorder="1" applyAlignment="1" applyProtection="1">
      <alignment horizontal="center" vertical="center"/>
    </xf>
    <xf numFmtId="4" fontId="42" fillId="0" borderId="38" xfId="0" applyNumberFormat="1" applyFont="1" applyBorder="1" applyAlignment="1" applyProtection="1">
      <alignment horizontal="center" vertical="center"/>
    </xf>
    <xf numFmtId="0" fontId="83" fillId="27" borderId="26" xfId="0" applyFont="1" applyFill="1" applyBorder="1" applyAlignment="1">
      <alignment horizontal="center" vertical="center" wrapText="1"/>
    </xf>
    <xf numFmtId="0" fontId="83" fillId="27" borderId="33" xfId="0" applyFont="1" applyFill="1" applyBorder="1" applyAlignment="1">
      <alignment horizontal="center" vertical="center" wrapText="1"/>
    </xf>
    <xf numFmtId="0" fontId="42" fillId="31" borderId="22" xfId="0" applyFont="1" applyFill="1" applyBorder="1" applyAlignment="1">
      <alignment horizontal="center" vertical="center" wrapText="1"/>
    </xf>
    <xf numFmtId="0" fontId="42" fillId="31" borderId="3" xfId="0" applyFont="1" applyFill="1" applyBorder="1" applyAlignment="1">
      <alignment horizontal="center" vertical="center" wrapText="1"/>
    </xf>
    <xf numFmtId="9" fontId="84" fillId="0" borderId="30" xfId="0" applyNumberFormat="1" applyFont="1" applyBorder="1" applyAlignment="1">
      <alignment horizontal="center" vertical="center" wrapText="1"/>
    </xf>
    <xf numFmtId="9" fontId="84" fillId="0" borderId="36" xfId="0" applyNumberFormat="1" applyFont="1" applyBorder="1" applyAlignment="1">
      <alignment horizontal="center" vertical="center" wrapText="1"/>
    </xf>
    <xf numFmtId="0" fontId="42" fillId="31" borderId="2" xfId="0" applyFont="1" applyFill="1" applyBorder="1" applyAlignment="1">
      <alignment horizontal="center" vertical="center" wrapText="1"/>
    </xf>
    <xf numFmtId="175" fontId="42" fillId="0" borderId="32" xfId="0" applyNumberFormat="1" applyFont="1" applyFill="1" applyBorder="1" applyAlignment="1" applyProtection="1">
      <alignment horizontal="left" vertical="center" wrapText="1"/>
    </xf>
    <xf numFmtId="175" fontId="42" fillId="0" borderId="37" xfId="0" applyNumberFormat="1" applyFont="1" applyFill="1" applyBorder="1" applyAlignment="1" applyProtection="1">
      <alignment horizontal="left" vertical="center" wrapText="1"/>
    </xf>
    <xf numFmtId="175" fontId="42" fillId="0" borderId="32" xfId="0" applyNumberFormat="1" applyFont="1" applyFill="1" applyBorder="1" applyAlignment="1" applyProtection="1">
      <alignment horizontal="center" vertical="center" wrapText="1"/>
    </xf>
    <xf numFmtId="175" fontId="42" fillId="0" borderId="37" xfId="0" applyNumberFormat="1" applyFont="1" applyFill="1" applyBorder="1" applyAlignment="1" applyProtection="1">
      <alignment horizontal="center" vertical="center" wrapText="1"/>
    </xf>
    <xf numFmtId="175" fontId="42" fillId="0" borderId="36" xfId="0" applyNumberFormat="1" applyFont="1" applyFill="1" applyBorder="1" applyAlignment="1" applyProtection="1">
      <alignment horizontal="center" vertical="center" wrapText="1"/>
    </xf>
    <xf numFmtId="175" fontId="42" fillId="0" borderId="38" xfId="0" applyNumberFormat="1" applyFont="1" applyFill="1" applyBorder="1" applyAlignment="1" applyProtection="1">
      <alignment horizontal="center" vertical="center" wrapText="1"/>
    </xf>
    <xf numFmtId="0" fontId="100" fillId="0" borderId="0" xfId="0" applyFont="1" applyAlignment="1" applyProtection="1">
      <alignment horizontal="left"/>
    </xf>
    <xf numFmtId="0" fontId="84" fillId="0" borderId="24" xfId="0" applyFont="1" applyBorder="1" applyAlignment="1">
      <alignment horizontal="left" vertical="center" wrapText="1"/>
    </xf>
    <xf numFmtId="0" fontId="84" fillId="0" borderId="23" xfId="0" applyFont="1" applyBorder="1" applyAlignment="1">
      <alignment horizontal="left" vertical="center" wrapText="1"/>
    </xf>
    <xf numFmtId="0" fontId="40" fillId="0" borderId="0" xfId="0" applyFont="1" applyFill="1" applyAlignment="1" applyProtection="1">
      <alignment horizontal="left"/>
    </xf>
    <xf numFmtId="0" fontId="84" fillId="0" borderId="25" xfId="0" applyFont="1" applyBorder="1" applyAlignment="1">
      <alignment horizontal="left" vertical="center" wrapText="1"/>
    </xf>
    <xf numFmtId="0" fontId="36" fillId="35" borderId="32" xfId="0" applyFont="1" applyFill="1" applyBorder="1" applyAlignment="1" applyProtection="1">
      <alignment horizontal="left" vertical="center" wrapText="1"/>
    </xf>
    <xf numFmtId="0" fontId="36" fillId="35" borderId="37" xfId="0" applyFont="1" applyFill="1" applyBorder="1" applyAlignment="1" applyProtection="1">
      <alignment horizontal="left" vertical="center" wrapText="1"/>
    </xf>
    <xf numFmtId="0" fontId="36" fillId="35" borderId="38" xfId="0" applyFont="1" applyFill="1" applyBorder="1" applyAlignment="1" applyProtection="1">
      <alignment horizontal="left" vertical="center" wrapText="1"/>
    </xf>
    <xf numFmtId="0" fontId="42" fillId="38" borderId="31" xfId="0" applyFont="1" applyFill="1" applyBorder="1" applyAlignment="1" applyProtection="1">
      <alignment horizontal="center" vertical="center"/>
    </xf>
    <xf numFmtId="0" fontId="42" fillId="38" borderId="40" xfId="0" applyFont="1" applyFill="1" applyBorder="1" applyAlignment="1" applyProtection="1">
      <alignment horizontal="center" vertical="center"/>
    </xf>
    <xf numFmtId="0" fontId="42" fillId="38" borderId="41" xfId="0" applyFont="1" applyFill="1" applyBorder="1" applyAlignment="1" applyProtection="1">
      <alignment horizontal="center" vertical="center"/>
    </xf>
    <xf numFmtId="9" fontId="84" fillId="0" borderId="32" xfId="0" applyNumberFormat="1" applyFont="1" applyBorder="1" applyAlignment="1">
      <alignment horizontal="center" vertical="center" wrapText="1"/>
    </xf>
    <xf numFmtId="9" fontId="84" fillId="0" borderId="38" xfId="0" applyNumberFormat="1" applyFont="1" applyBorder="1" applyAlignment="1">
      <alignment horizontal="center" vertical="center" wrapText="1"/>
    </xf>
    <xf numFmtId="0" fontId="42" fillId="39" borderId="31" xfId="0" applyFont="1" applyFill="1" applyBorder="1" applyAlignment="1" applyProtection="1">
      <alignment horizontal="center" vertical="center"/>
    </xf>
    <xf numFmtId="0" fontId="42" fillId="39" borderId="40" xfId="0" applyFont="1" applyFill="1" applyBorder="1" applyAlignment="1" applyProtection="1">
      <alignment horizontal="center" vertical="center"/>
    </xf>
    <xf numFmtId="0" fontId="42" fillId="39" borderId="41" xfId="0" applyFont="1" applyFill="1" applyBorder="1" applyAlignment="1" applyProtection="1">
      <alignment horizontal="center" vertical="center"/>
    </xf>
    <xf numFmtId="0" fontId="42" fillId="40" borderId="31" xfId="0" applyFont="1" applyFill="1" applyBorder="1" applyAlignment="1" applyProtection="1">
      <alignment horizontal="center" vertical="center"/>
    </xf>
    <xf numFmtId="0" fontId="42" fillId="40" borderId="40" xfId="0" applyFont="1" applyFill="1" applyBorder="1" applyAlignment="1" applyProtection="1">
      <alignment horizontal="center" vertical="center"/>
    </xf>
    <xf numFmtId="0" fontId="42" fillId="40" borderId="41" xfId="0" applyFont="1" applyFill="1" applyBorder="1" applyAlignment="1" applyProtection="1">
      <alignment horizontal="center" vertical="center"/>
    </xf>
    <xf numFmtId="0" fontId="42" fillId="36" borderId="31" xfId="0" applyFont="1" applyFill="1" applyBorder="1" applyAlignment="1" applyProtection="1">
      <alignment horizontal="center" vertical="center"/>
    </xf>
    <xf numFmtId="0" fontId="42" fillId="36" borderId="40" xfId="0" applyFont="1" applyFill="1" applyBorder="1" applyAlignment="1" applyProtection="1">
      <alignment horizontal="center" vertical="center"/>
    </xf>
    <xf numFmtId="0" fontId="42" fillId="36" borderId="41" xfId="0" applyFont="1" applyFill="1" applyBorder="1" applyAlignment="1" applyProtection="1">
      <alignment horizontal="center" vertical="center"/>
    </xf>
    <xf numFmtId="0" fontId="84" fillId="0" borderId="34" xfId="0" applyFont="1" applyBorder="1" applyAlignment="1">
      <alignment horizontal="center" vertical="center" wrapText="1"/>
    </xf>
    <xf numFmtId="0" fontId="84" fillId="0" borderId="52" xfId="0" applyFont="1" applyBorder="1" applyAlignment="1">
      <alignment horizontal="center" vertical="center" wrapText="1"/>
    </xf>
    <xf numFmtId="0" fontId="84" fillId="0" borderId="31" xfId="0" applyFont="1" applyBorder="1" applyAlignment="1">
      <alignment horizontal="center" vertical="center" wrapText="1"/>
    </xf>
    <xf numFmtId="0" fontId="84" fillId="0" borderId="41" xfId="0" applyFont="1" applyBorder="1" applyAlignment="1">
      <alignment horizontal="center" vertical="center" wrapText="1"/>
    </xf>
    <xf numFmtId="0" fontId="36" fillId="38" borderId="31" xfId="0" applyFont="1" applyFill="1" applyBorder="1" applyAlignment="1" applyProtection="1">
      <alignment horizontal="left" vertical="center" wrapText="1"/>
    </xf>
    <xf numFmtId="0" fontId="36" fillId="38" borderId="40" xfId="0" applyFont="1" applyFill="1" applyBorder="1" applyAlignment="1" applyProtection="1">
      <alignment horizontal="left" vertical="center" wrapText="1"/>
    </xf>
    <xf numFmtId="0" fontId="36" fillId="38" borderId="41" xfId="0" applyFont="1" applyFill="1" applyBorder="1" applyAlignment="1" applyProtection="1">
      <alignment horizontal="left" vertical="center" wrapText="1"/>
    </xf>
    <xf numFmtId="0" fontId="36" fillId="39" borderId="31" xfId="0" applyFont="1" applyFill="1" applyBorder="1" applyAlignment="1" applyProtection="1">
      <alignment horizontal="left" vertical="center" wrapText="1"/>
    </xf>
    <xf numFmtId="0" fontId="36" fillId="39" borderId="40" xfId="0" applyFont="1" applyFill="1" applyBorder="1" applyAlignment="1" applyProtection="1">
      <alignment horizontal="left" vertical="center" wrapText="1"/>
    </xf>
    <xf numFmtId="0" fontId="36" fillId="39" borderId="41" xfId="0" applyFont="1" applyFill="1" applyBorder="1" applyAlignment="1" applyProtection="1">
      <alignment horizontal="left" vertical="center" wrapText="1"/>
    </xf>
    <xf numFmtId="0" fontId="36" fillId="27" borderId="26" xfId="0" applyFont="1" applyFill="1" applyBorder="1" applyAlignment="1" applyProtection="1">
      <alignment horizontal="left" vertical="center"/>
    </xf>
    <xf numFmtId="0" fontId="36" fillId="27" borderId="39" xfId="0" applyFont="1" applyFill="1" applyBorder="1" applyAlignment="1" applyProtection="1">
      <alignment horizontal="left" vertical="center"/>
    </xf>
    <xf numFmtId="0" fontId="36" fillId="27" borderId="33" xfId="0" applyFont="1" applyFill="1" applyBorder="1" applyAlignment="1" applyProtection="1">
      <alignment horizontal="left" vertical="center"/>
    </xf>
    <xf numFmtId="0" fontId="36" fillId="0" borderId="30" xfId="0" applyFont="1" applyFill="1" applyBorder="1" applyAlignment="1" applyProtection="1">
      <alignment horizontal="left" vertical="center" wrapText="1"/>
    </xf>
    <xf numFmtId="0" fontId="36" fillId="0" borderId="35"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42" fillId="35" borderId="32" xfId="0" applyFont="1" applyFill="1" applyBorder="1" applyAlignment="1" applyProtection="1">
      <alignment horizontal="center" vertical="center"/>
    </xf>
    <xf numFmtId="0" fontId="42" fillId="35" borderId="37" xfId="0" applyFont="1" applyFill="1" applyBorder="1" applyAlignment="1" applyProtection="1">
      <alignment horizontal="center" vertical="center"/>
    </xf>
    <xf numFmtId="0" fontId="42" fillId="35" borderId="38" xfId="0" applyFont="1" applyFill="1" applyBorder="1" applyAlignment="1" applyProtection="1">
      <alignment horizontal="center" vertical="center"/>
    </xf>
    <xf numFmtId="0" fontId="83" fillId="27" borderId="2" xfId="0" applyFont="1" applyFill="1" applyBorder="1" applyAlignment="1">
      <alignment horizontal="center" vertical="center" wrapText="1"/>
    </xf>
    <xf numFmtId="0" fontId="58" fillId="0" borderId="0" xfId="0" applyFont="1" applyAlignment="1">
      <alignment vertical="center" wrapText="1"/>
    </xf>
    <xf numFmtId="0" fontId="42" fillId="0" borderId="0" xfId="0" applyFont="1" applyAlignment="1">
      <alignment horizontal="left" wrapText="1"/>
    </xf>
    <xf numFmtId="0" fontId="79" fillId="0" borderId="0" xfId="0" applyFont="1" applyAlignment="1">
      <alignment horizontal="left" vertical="center" wrapText="1"/>
    </xf>
    <xf numFmtId="0" fontId="36" fillId="27" borderId="30" xfId="0" applyFont="1" applyFill="1" applyBorder="1" applyAlignment="1">
      <alignment horizontal="left" vertical="center"/>
    </xf>
    <xf numFmtId="0" fontId="0" fillId="0" borderId="36" xfId="0" applyBorder="1" applyAlignment="1">
      <alignment horizontal="left"/>
    </xf>
    <xf numFmtId="0" fontId="36" fillId="27" borderId="31" xfId="0" applyFont="1" applyFill="1" applyBorder="1" applyAlignment="1">
      <alignment horizontal="left" vertical="center"/>
    </xf>
    <xf numFmtId="0" fontId="36" fillId="27" borderId="41" xfId="0" applyFont="1" applyFill="1" applyBorder="1" applyAlignment="1">
      <alignment horizontal="left" vertical="center"/>
    </xf>
    <xf numFmtId="0" fontId="36" fillId="27" borderId="32" xfId="0" applyFont="1" applyFill="1" applyBorder="1" applyAlignment="1">
      <alignment horizontal="left" vertical="center"/>
    </xf>
    <xf numFmtId="0" fontId="36" fillId="27" borderId="38" xfId="0" applyFont="1" applyFill="1" applyBorder="1" applyAlignment="1">
      <alignment horizontal="left" vertical="center"/>
    </xf>
    <xf numFmtId="0" fontId="42" fillId="0" borderId="32" xfId="0" applyFont="1" applyFill="1" applyBorder="1" applyAlignment="1">
      <alignment horizontal="left" vertical="center"/>
    </xf>
    <xf numFmtId="0" fontId="42" fillId="0" borderId="38" xfId="0" applyFont="1" applyFill="1" applyBorder="1" applyAlignment="1">
      <alignment horizontal="left" vertical="center"/>
    </xf>
    <xf numFmtId="0" fontId="42" fillId="0" borderId="31" xfId="0" applyFont="1" applyFill="1" applyBorder="1" applyAlignment="1">
      <alignment horizontal="left" vertical="center"/>
    </xf>
    <xf numFmtId="0" fontId="42" fillId="0" borderId="41" xfId="0" applyFont="1" applyFill="1" applyBorder="1" applyAlignment="1">
      <alignment horizontal="left" vertical="center"/>
    </xf>
    <xf numFmtId="0" fontId="42" fillId="34" borderId="31" xfId="0" applyFont="1" applyFill="1" applyBorder="1" applyAlignment="1">
      <alignment horizontal="left" vertical="center"/>
    </xf>
    <xf numFmtId="0" fontId="42" fillId="34" borderId="41" xfId="0" applyFont="1" applyFill="1" applyBorder="1" applyAlignment="1">
      <alignment horizontal="left" vertical="center"/>
    </xf>
    <xf numFmtId="0" fontId="36" fillId="27" borderId="26" xfId="0" applyFont="1" applyFill="1" applyBorder="1" applyAlignment="1">
      <alignment horizontal="center" vertical="center"/>
    </xf>
    <xf numFmtId="0" fontId="36" fillId="27" borderId="33" xfId="0" applyFont="1" applyFill="1" applyBorder="1" applyAlignment="1">
      <alignment horizontal="center" vertical="center"/>
    </xf>
    <xf numFmtId="0" fontId="42" fillId="0" borderId="30" xfId="0" applyFont="1" applyFill="1" applyBorder="1" applyAlignment="1">
      <alignment horizontal="left" vertical="center"/>
    </xf>
    <xf numFmtId="0" fontId="42" fillId="0" borderId="36" xfId="0" applyFont="1" applyFill="1" applyBorder="1" applyAlignment="1">
      <alignment horizontal="left" vertical="center"/>
    </xf>
    <xf numFmtId="0" fontId="79" fillId="0" borderId="31" xfId="0" applyFont="1" applyFill="1" applyBorder="1" applyAlignment="1">
      <alignment horizontal="left" vertical="center"/>
    </xf>
    <xf numFmtId="0" fontId="79" fillId="0" borderId="41" xfId="0" applyFont="1" applyFill="1" applyBorder="1" applyAlignment="1">
      <alignment horizontal="left" vertical="center"/>
    </xf>
    <xf numFmtId="0" fontId="61" fillId="33" borderId="47" xfId="0" applyFont="1" applyFill="1" applyBorder="1" applyAlignment="1">
      <alignment horizontal="center" vertical="center"/>
    </xf>
    <xf numFmtId="0" fontId="61" fillId="33" borderId="0" xfId="0" applyFont="1" applyFill="1" applyBorder="1" applyAlignment="1">
      <alignment horizontal="center" vertical="center"/>
    </xf>
    <xf numFmtId="0" fontId="36" fillId="27" borderId="26" xfId="0" applyFont="1" applyFill="1" applyBorder="1" applyAlignment="1" applyProtection="1">
      <alignment horizontal="left" vertical="center" wrapText="1"/>
    </xf>
    <xf numFmtId="0" fontId="36" fillId="27" borderId="33" xfId="0" applyFont="1" applyFill="1" applyBorder="1" applyAlignment="1" applyProtection="1">
      <alignment horizontal="left" vertical="center" wrapText="1"/>
    </xf>
    <xf numFmtId="0" fontId="47" fillId="21" borderId="47" xfId="0" applyFont="1" applyFill="1" applyBorder="1" applyAlignment="1">
      <alignment horizontal="center"/>
    </xf>
    <xf numFmtId="0" fontId="47" fillId="21" borderId="0" xfId="0" applyFont="1" applyFill="1" applyBorder="1" applyAlignment="1">
      <alignment horizontal="center"/>
    </xf>
    <xf numFmtId="0" fontId="47" fillId="26" borderId="14" xfId="0" applyFont="1" applyFill="1" applyBorder="1" applyAlignment="1">
      <alignment horizontal="center" vertical="center"/>
    </xf>
    <xf numFmtId="0" fontId="47" fillId="26" borderId="15" xfId="0" applyFont="1" applyFill="1" applyBorder="1" applyAlignment="1">
      <alignment horizontal="center" vertical="center"/>
    </xf>
    <xf numFmtId="0" fontId="47" fillId="26" borderId="16" xfId="0" applyFont="1" applyFill="1" applyBorder="1" applyAlignment="1">
      <alignment horizontal="center" vertical="center"/>
    </xf>
    <xf numFmtId="0" fontId="116" fillId="34" borderId="63" xfId="0" applyFont="1" applyFill="1" applyBorder="1" applyAlignment="1">
      <alignment horizontal="center" vertical="center"/>
    </xf>
    <xf numFmtId="0" fontId="116" fillId="34" borderId="64" xfId="0" applyFont="1" applyFill="1" applyBorder="1" applyAlignment="1">
      <alignment horizontal="center" vertical="center"/>
    </xf>
    <xf numFmtId="0" fontId="116" fillId="34" borderId="65" xfId="0" applyFont="1" applyFill="1" applyBorder="1" applyAlignment="1">
      <alignment horizontal="center" vertical="center"/>
    </xf>
    <xf numFmtId="0" fontId="116" fillId="34" borderId="53" xfId="0" applyFont="1" applyFill="1" applyBorder="1" applyAlignment="1">
      <alignment horizontal="center" vertical="center"/>
    </xf>
    <xf numFmtId="0" fontId="116" fillId="34" borderId="54" xfId="0" applyFont="1" applyFill="1" applyBorder="1" applyAlignment="1">
      <alignment horizontal="center" vertical="center"/>
    </xf>
    <xf numFmtId="0" fontId="116" fillId="34" borderId="66" xfId="0" applyFont="1" applyFill="1" applyBorder="1" applyAlignment="1">
      <alignment horizontal="center" vertical="center"/>
    </xf>
    <xf numFmtId="0" fontId="61" fillId="0" borderId="67" xfId="0" applyFont="1" applyBorder="1" applyAlignment="1">
      <alignment horizontal="center" vertical="center"/>
    </xf>
    <xf numFmtId="0" fontId="61" fillId="0" borderId="28" xfId="0" applyFont="1" applyBorder="1" applyAlignment="1">
      <alignment horizontal="center" vertical="center"/>
    </xf>
    <xf numFmtId="0" fontId="61" fillId="0" borderId="68" xfId="0" applyFont="1" applyBorder="1" applyAlignment="1">
      <alignment horizontal="center" vertical="center"/>
    </xf>
    <xf numFmtId="0" fontId="61" fillId="0" borderId="73" xfId="0" applyFont="1" applyBorder="1" applyAlignment="1">
      <alignment horizontal="center" vertical="center"/>
    </xf>
    <xf numFmtId="0" fontId="61" fillId="0" borderId="74" xfId="0" applyFont="1" applyBorder="1" applyAlignment="1">
      <alignment horizontal="center" vertical="center"/>
    </xf>
    <xf numFmtId="0" fontId="61" fillId="0" borderId="75" xfId="0" applyFont="1" applyBorder="1" applyAlignment="1">
      <alignment horizontal="center" vertical="center"/>
    </xf>
    <xf numFmtId="0" fontId="47" fillId="21" borderId="0" xfId="0" applyFont="1" applyFill="1" applyAlignment="1">
      <alignment horizontal="center"/>
    </xf>
    <xf numFmtId="0" fontId="0" fillId="0" borderId="0" xfId="0" applyFill="1" applyAlignment="1">
      <alignment wrapText="1"/>
    </xf>
    <xf numFmtId="0" fontId="36" fillId="0" borderId="26" xfId="0" applyFont="1" applyFill="1" applyBorder="1" applyAlignment="1">
      <alignment horizontal="left" vertical="center" wrapText="1"/>
    </xf>
    <xf numFmtId="0" fontId="36" fillId="0" borderId="33" xfId="0" applyFont="1" applyFill="1" applyBorder="1" applyAlignment="1">
      <alignment horizontal="left" vertical="center" wrapText="1"/>
    </xf>
  </cellXfs>
  <cellStyles count="1277">
    <cellStyle name="20 % - Accent1 2" xfId="3" xr:uid="{00000000-0005-0000-0000-000000000000}"/>
    <cellStyle name="20 % - Accent1 2 2" xfId="4" xr:uid="{00000000-0005-0000-0000-000001000000}"/>
    <cellStyle name="20 % - Accent1 3" xfId="5" xr:uid="{00000000-0005-0000-0000-000002000000}"/>
    <cellStyle name="20 % - Accent1 3 2" xfId="6" xr:uid="{00000000-0005-0000-0000-000003000000}"/>
    <cellStyle name="20 % - Accent1 4" xfId="7" xr:uid="{00000000-0005-0000-0000-000004000000}"/>
    <cellStyle name="20 % - Accent1 4 2" xfId="8" xr:uid="{00000000-0005-0000-0000-000005000000}"/>
    <cellStyle name="20 % - Accent1 5" xfId="9" xr:uid="{00000000-0005-0000-0000-000006000000}"/>
    <cellStyle name="20 % - Accent1 5 2" xfId="10" xr:uid="{00000000-0005-0000-0000-000007000000}"/>
    <cellStyle name="20 % - Accent2 2" xfId="11" xr:uid="{00000000-0005-0000-0000-000008000000}"/>
    <cellStyle name="20 % - Accent2 2 2" xfId="12" xr:uid="{00000000-0005-0000-0000-000009000000}"/>
    <cellStyle name="20 % - Accent2 3" xfId="13" xr:uid="{00000000-0005-0000-0000-00000A000000}"/>
    <cellStyle name="20 % - Accent2 3 2" xfId="14" xr:uid="{00000000-0005-0000-0000-00000B000000}"/>
    <cellStyle name="20 % - Accent2 4" xfId="15" xr:uid="{00000000-0005-0000-0000-00000C000000}"/>
    <cellStyle name="20 % - Accent2 4 2" xfId="16" xr:uid="{00000000-0005-0000-0000-00000D000000}"/>
    <cellStyle name="20 % - Accent2 5" xfId="17" xr:uid="{00000000-0005-0000-0000-00000E000000}"/>
    <cellStyle name="20 % - Accent2 5 2" xfId="18" xr:uid="{00000000-0005-0000-0000-00000F000000}"/>
    <cellStyle name="20 % - Accent3 2" xfId="19" xr:uid="{00000000-0005-0000-0000-000010000000}"/>
    <cellStyle name="20 % - Accent3 2 2" xfId="20" xr:uid="{00000000-0005-0000-0000-000011000000}"/>
    <cellStyle name="20 % - Accent3 3" xfId="21" xr:uid="{00000000-0005-0000-0000-000012000000}"/>
    <cellStyle name="20 % - Accent3 3 2" xfId="22" xr:uid="{00000000-0005-0000-0000-000013000000}"/>
    <cellStyle name="20 % - Accent3 4" xfId="23" xr:uid="{00000000-0005-0000-0000-000014000000}"/>
    <cellStyle name="20 % - Accent3 4 2" xfId="24" xr:uid="{00000000-0005-0000-0000-000015000000}"/>
    <cellStyle name="20 % - Accent3 5" xfId="25" xr:uid="{00000000-0005-0000-0000-000016000000}"/>
    <cellStyle name="20 % - Accent3 5 2" xfId="26" xr:uid="{00000000-0005-0000-0000-000017000000}"/>
    <cellStyle name="20 % - Accent4 2" xfId="27" xr:uid="{00000000-0005-0000-0000-000018000000}"/>
    <cellStyle name="20 % - Accent4 2 2" xfId="28" xr:uid="{00000000-0005-0000-0000-000019000000}"/>
    <cellStyle name="20 % - Accent4 3" xfId="29" xr:uid="{00000000-0005-0000-0000-00001A000000}"/>
    <cellStyle name="20 % - Accent4 3 2" xfId="30" xr:uid="{00000000-0005-0000-0000-00001B000000}"/>
    <cellStyle name="20 % - Accent4 4" xfId="31" xr:uid="{00000000-0005-0000-0000-00001C000000}"/>
    <cellStyle name="20 % - Accent4 4 2" xfId="32" xr:uid="{00000000-0005-0000-0000-00001D000000}"/>
    <cellStyle name="20 % - Accent4 5" xfId="33" xr:uid="{00000000-0005-0000-0000-00001E000000}"/>
    <cellStyle name="20 % - Accent4 5 2" xfId="34" xr:uid="{00000000-0005-0000-0000-00001F000000}"/>
    <cellStyle name="20 % - Accent5 2" xfId="35" xr:uid="{00000000-0005-0000-0000-000020000000}"/>
    <cellStyle name="20 % - Accent5 2 2" xfId="36" xr:uid="{00000000-0005-0000-0000-000021000000}"/>
    <cellStyle name="20 % - Accent5 3" xfId="37" xr:uid="{00000000-0005-0000-0000-000022000000}"/>
    <cellStyle name="20 % - Accent5 3 2" xfId="38" xr:uid="{00000000-0005-0000-0000-000023000000}"/>
    <cellStyle name="20 % - Accent5 4" xfId="39" xr:uid="{00000000-0005-0000-0000-000024000000}"/>
    <cellStyle name="20 % - Accent5 4 2" xfId="40" xr:uid="{00000000-0005-0000-0000-000025000000}"/>
    <cellStyle name="20 % - Accent5 5" xfId="41" xr:uid="{00000000-0005-0000-0000-000026000000}"/>
    <cellStyle name="20 % - Accent5 5 2" xfId="42" xr:uid="{00000000-0005-0000-0000-000027000000}"/>
    <cellStyle name="20 % - Accent6 2" xfId="43" xr:uid="{00000000-0005-0000-0000-000028000000}"/>
    <cellStyle name="20 % - Accent6 2 2" xfId="44" xr:uid="{00000000-0005-0000-0000-000029000000}"/>
    <cellStyle name="20 % - Accent6 3" xfId="45" xr:uid="{00000000-0005-0000-0000-00002A000000}"/>
    <cellStyle name="20 % - Accent6 3 2" xfId="46" xr:uid="{00000000-0005-0000-0000-00002B000000}"/>
    <cellStyle name="20 % - Accent6 4" xfId="47" xr:uid="{00000000-0005-0000-0000-00002C000000}"/>
    <cellStyle name="20 % - Accent6 4 2" xfId="48" xr:uid="{00000000-0005-0000-0000-00002D000000}"/>
    <cellStyle name="20 % - Accent6 5" xfId="49" xr:uid="{00000000-0005-0000-0000-00002E000000}"/>
    <cellStyle name="20 % - Accent6 5 2" xfId="50" xr:uid="{00000000-0005-0000-0000-00002F000000}"/>
    <cellStyle name="2x indented GHG Textfiels" xfId="51" xr:uid="{00000000-0005-0000-0000-000030000000}"/>
    <cellStyle name="40 % - Accent1 2" xfId="52" xr:uid="{00000000-0005-0000-0000-000031000000}"/>
    <cellStyle name="40 % - Accent1 2 2" xfId="53" xr:uid="{00000000-0005-0000-0000-000032000000}"/>
    <cellStyle name="40 % - Accent1 3" xfId="54" xr:uid="{00000000-0005-0000-0000-000033000000}"/>
    <cellStyle name="40 % - Accent1 3 2" xfId="55" xr:uid="{00000000-0005-0000-0000-000034000000}"/>
    <cellStyle name="40 % - Accent1 4" xfId="56" xr:uid="{00000000-0005-0000-0000-000035000000}"/>
    <cellStyle name="40 % - Accent1 4 2" xfId="57" xr:uid="{00000000-0005-0000-0000-000036000000}"/>
    <cellStyle name="40 % - Accent1 5" xfId="58" xr:uid="{00000000-0005-0000-0000-000037000000}"/>
    <cellStyle name="40 % - Accent1 5 2" xfId="59" xr:uid="{00000000-0005-0000-0000-000038000000}"/>
    <cellStyle name="40 % - Accent2 2" xfId="60" xr:uid="{00000000-0005-0000-0000-000039000000}"/>
    <cellStyle name="40 % - Accent2 2 2" xfId="61" xr:uid="{00000000-0005-0000-0000-00003A000000}"/>
    <cellStyle name="40 % - Accent2 3" xfId="62" xr:uid="{00000000-0005-0000-0000-00003B000000}"/>
    <cellStyle name="40 % - Accent2 3 2" xfId="63" xr:uid="{00000000-0005-0000-0000-00003C000000}"/>
    <cellStyle name="40 % - Accent2 4" xfId="64" xr:uid="{00000000-0005-0000-0000-00003D000000}"/>
    <cellStyle name="40 % - Accent2 4 2" xfId="65" xr:uid="{00000000-0005-0000-0000-00003E000000}"/>
    <cellStyle name="40 % - Accent2 5" xfId="66" xr:uid="{00000000-0005-0000-0000-00003F000000}"/>
    <cellStyle name="40 % - Accent2 5 2" xfId="67" xr:uid="{00000000-0005-0000-0000-000040000000}"/>
    <cellStyle name="40 % - Accent3 2" xfId="68" xr:uid="{00000000-0005-0000-0000-000041000000}"/>
    <cellStyle name="40 % - Accent3 2 2" xfId="69" xr:uid="{00000000-0005-0000-0000-000042000000}"/>
    <cellStyle name="40 % - Accent3 3" xfId="70" xr:uid="{00000000-0005-0000-0000-000043000000}"/>
    <cellStyle name="40 % - Accent3 3 2" xfId="71" xr:uid="{00000000-0005-0000-0000-000044000000}"/>
    <cellStyle name="40 % - Accent3 4" xfId="72" xr:uid="{00000000-0005-0000-0000-000045000000}"/>
    <cellStyle name="40 % - Accent3 4 2" xfId="73" xr:uid="{00000000-0005-0000-0000-000046000000}"/>
    <cellStyle name="40 % - Accent3 5" xfId="74" xr:uid="{00000000-0005-0000-0000-000047000000}"/>
    <cellStyle name="40 % - Accent3 5 2" xfId="75" xr:uid="{00000000-0005-0000-0000-000048000000}"/>
    <cellStyle name="40 % - Accent4 2" xfId="76" xr:uid="{00000000-0005-0000-0000-000049000000}"/>
    <cellStyle name="40 % - Accent4 2 2" xfId="77" xr:uid="{00000000-0005-0000-0000-00004A000000}"/>
    <cellStyle name="40 % - Accent4 3" xfId="78" xr:uid="{00000000-0005-0000-0000-00004B000000}"/>
    <cellStyle name="40 % - Accent4 3 2" xfId="79" xr:uid="{00000000-0005-0000-0000-00004C000000}"/>
    <cellStyle name="40 % - Accent4 4" xfId="80" xr:uid="{00000000-0005-0000-0000-00004D000000}"/>
    <cellStyle name="40 % - Accent4 4 2" xfId="81" xr:uid="{00000000-0005-0000-0000-00004E000000}"/>
    <cellStyle name="40 % - Accent4 5" xfId="82" xr:uid="{00000000-0005-0000-0000-00004F000000}"/>
    <cellStyle name="40 % - Accent4 5 2" xfId="83" xr:uid="{00000000-0005-0000-0000-000050000000}"/>
    <cellStyle name="40 % - Accent5 2" xfId="84" xr:uid="{00000000-0005-0000-0000-000051000000}"/>
    <cellStyle name="40 % - Accent5 2 2" xfId="85" xr:uid="{00000000-0005-0000-0000-000052000000}"/>
    <cellStyle name="40 % - Accent5 3" xfId="86" xr:uid="{00000000-0005-0000-0000-000053000000}"/>
    <cellStyle name="40 % - Accent5 3 2" xfId="87" xr:uid="{00000000-0005-0000-0000-000054000000}"/>
    <cellStyle name="40 % - Accent5 4" xfId="88" xr:uid="{00000000-0005-0000-0000-000055000000}"/>
    <cellStyle name="40 % - Accent5 4 2" xfId="89" xr:uid="{00000000-0005-0000-0000-000056000000}"/>
    <cellStyle name="40 % - Accent5 5" xfId="90" xr:uid="{00000000-0005-0000-0000-000057000000}"/>
    <cellStyle name="40 % - Accent5 5 2" xfId="91" xr:uid="{00000000-0005-0000-0000-000058000000}"/>
    <cellStyle name="40 % - Accent6 2" xfId="92" xr:uid="{00000000-0005-0000-0000-000059000000}"/>
    <cellStyle name="40 % - Accent6 2 2" xfId="93" xr:uid="{00000000-0005-0000-0000-00005A000000}"/>
    <cellStyle name="40 % - Accent6 3" xfId="94" xr:uid="{00000000-0005-0000-0000-00005B000000}"/>
    <cellStyle name="40 % - Accent6 3 2" xfId="95" xr:uid="{00000000-0005-0000-0000-00005C000000}"/>
    <cellStyle name="40 % - Accent6 4" xfId="96" xr:uid="{00000000-0005-0000-0000-00005D000000}"/>
    <cellStyle name="40 % - Accent6 4 2" xfId="97" xr:uid="{00000000-0005-0000-0000-00005E000000}"/>
    <cellStyle name="40 % - Accent6 5" xfId="98" xr:uid="{00000000-0005-0000-0000-00005F000000}"/>
    <cellStyle name="40 % - Accent6 5 2" xfId="99" xr:uid="{00000000-0005-0000-0000-000060000000}"/>
    <cellStyle name="5x indented GHG Textfiels" xfId="100" xr:uid="{00000000-0005-0000-0000-000061000000}"/>
    <cellStyle name="60 % - Accent1 2" xfId="101" xr:uid="{00000000-0005-0000-0000-000062000000}"/>
    <cellStyle name="60 % - Accent1 2 2" xfId="102" xr:uid="{00000000-0005-0000-0000-000063000000}"/>
    <cellStyle name="60 % - Accent1 3" xfId="103" xr:uid="{00000000-0005-0000-0000-000064000000}"/>
    <cellStyle name="60 % - Accent1 3 2" xfId="104" xr:uid="{00000000-0005-0000-0000-000065000000}"/>
    <cellStyle name="60 % - Accent1 4" xfId="105" xr:uid="{00000000-0005-0000-0000-000066000000}"/>
    <cellStyle name="60 % - Accent1 4 2" xfId="106" xr:uid="{00000000-0005-0000-0000-000067000000}"/>
    <cellStyle name="60 % - Accent1 5" xfId="107" xr:uid="{00000000-0005-0000-0000-000068000000}"/>
    <cellStyle name="60 % - Accent1 5 2" xfId="108" xr:uid="{00000000-0005-0000-0000-000069000000}"/>
    <cellStyle name="60 % - Accent2 2" xfId="109" xr:uid="{00000000-0005-0000-0000-00006A000000}"/>
    <cellStyle name="60 % - Accent2 2 2" xfId="110" xr:uid="{00000000-0005-0000-0000-00006B000000}"/>
    <cellStyle name="60 % - Accent2 3" xfId="111" xr:uid="{00000000-0005-0000-0000-00006C000000}"/>
    <cellStyle name="60 % - Accent2 3 2" xfId="112" xr:uid="{00000000-0005-0000-0000-00006D000000}"/>
    <cellStyle name="60 % - Accent2 4" xfId="113" xr:uid="{00000000-0005-0000-0000-00006E000000}"/>
    <cellStyle name="60 % - Accent2 4 2" xfId="114" xr:uid="{00000000-0005-0000-0000-00006F000000}"/>
    <cellStyle name="60 % - Accent2 5" xfId="115" xr:uid="{00000000-0005-0000-0000-000070000000}"/>
    <cellStyle name="60 % - Accent2 5 2" xfId="116" xr:uid="{00000000-0005-0000-0000-000071000000}"/>
    <cellStyle name="60 % - Accent3 2" xfId="117" xr:uid="{00000000-0005-0000-0000-000072000000}"/>
    <cellStyle name="60 % - Accent3 2 2" xfId="118" xr:uid="{00000000-0005-0000-0000-000073000000}"/>
    <cellStyle name="60 % - Accent3 3" xfId="119" xr:uid="{00000000-0005-0000-0000-000074000000}"/>
    <cellStyle name="60 % - Accent3 3 2" xfId="120" xr:uid="{00000000-0005-0000-0000-000075000000}"/>
    <cellStyle name="60 % - Accent3 4" xfId="121" xr:uid="{00000000-0005-0000-0000-000076000000}"/>
    <cellStyle name="60 % - Accent3 4 2" xfId="122" xr:uid="{00000000-0005-0000-0000-000077000000}"/>
    <cellStyle name="60 % - Accent3 5" xfId="123" xr:uid="{00000000-0005-0000-0000-000078000000}"/>
    <cellStyle name="60 % - Accent3 5 2" xfId="124" xr:uid="{00000000-0005-0000-0000-000079000000}"/>
    <cellStyle name="60 % - Accent4 2" xfId="125" xr:uid="{00000000-0005-0000-0000-00007A000000}"/>
    <cellStyle name="60 % - Accent4 2 2" xfId="126" xr:uid="{00000000-0005-0000-0000-00007B000000}"/>
    <cellStyle name="60 % - Accent4 3" xfId="127" xr:uid="{00000000-0005-0000-0000-00007C000000}"/>
    <cellStyle name="60 % - Accent4 3 2" xfId="128" xr:uid="{00000000-0005-0000-0000-00007D000000}"/>
    <cellStyle name="60 % - Accent4 4" xfId="129" xr:uid="{00000000-0005-0000-0000-00007E000000}"/>
    <cellStyle name="60 % - Accent4 4 2" xfId="130" xr:uid="{00000000-0005-0000-0000-00007F000000}"/>
    <cellStyle name="60 % - Accent4 5" xfId="131" xr:uid="{00000000-0005-0000-0000-000080000000}"/>
    <cellStyle name="60 % - Accent4 5 2" xfId="132" xr:uid="{00000000-0005-0000-0000-000081000000}"/>
    <cellStyle name="60 % - Accent5 2" xfId="133" xr:uid="{00000000-0005-0000-0000-000082000000}"/>
    <cellStyle name="60 % - Accent5 2 2" xfId="134" xr:uid="{00000000-0005-0000-0000-000083000000}"/>
    <cellStyle name="60 % - Accent5 3" xfId="135" xr:uid="{00000000-0005-0000-0000-000084000000}"/>
    <cellStyle name="60 % - Accent5 3 2" xfId="136" xr:uid="{00000000-0005-0000-0000-000085000000}"/>
    <cellStyle name="60 % - Accent5 4" xfId="137" xr:uid="{00000000-0005-0000-0000-000086000000}"/>
    <cellStyle name="60 % - Accent5 4 2" xfId="138" xr:uid="{00000000-0005-0000-0000-000087000000}"/>
    <cellStyle name="60 % - Accent5 5" xfId="139" xr:uid="{00000000-0005-0000-0000-000088000000}"/>
    <cellStyle name="60 % - Accent5 5 2" xfId="140" xr:uid="{00000000-0005-0000-0000-000089000000}"/>
    <cellStyle name="60 % - Accent6 2" xfId="141" xr:uid="{00000000-0005-0000-0000-00008A000000}"/>
    <cellStyle name="60 % - Accent6 2 2" xfId="142" xr:uid="{00000000-0005-0000-0000-00008B000000}"/>
    <cellStyle name="60 % - Accent6 3" xfId="143" xr:uid="{00000000-0005-0000-0000-00008C000000}"/>
    <cellStyle name="60 % - Accent6 3 2" xfId="144" xr:uid="{00000000-0005-0000-0000-00008D000000}"/>
    <cellStyle name="60 % - Accent6 4" xfId="145" xr:uid="{00000000-0005-0000-0000-00008E000000}"/>
    <cellStyle name="60 % - Accent6 4 2" xfId="146" xr:uid="{00000000-0005-0000-0000-00008F000000}"/>
    <cellStyle name="60 % - Accent6 5" xfId="147" xr:uid="{00000000-0005-0000-0000-000090000000}"/>
    <cellStyle name="60 % - Accent6 5 2" xfId="148" xr:uid="{00000000-0005-0000-0000-000091000000}"/>
    <cellStyle name="Accent1 2" xfId="149" xr:uid="{00000000-0005-0000-0000-000092000000}"/>
    <cellStyle name="Accent1 2 2" xfId="150" xr:uid="{00000000-0005-0000-0000-000093000000}"/>
    <cellStyle name="Accent1 3" xfId="151" xr:uid="{00000000-0005-0000-0000-000094000000}"/>
    <cellStyle name="Accent1 3 2" xfId="152" xr:uid="{00000000-0005-0000-0000-000095000000}"/>
    <cellStyle name="Accent1 4" xfId="153" xr:uid="{00000000-0005-0000-0000-000096000000}"/>
    <cellStyle name="Accent1 4 2" xfId="154" xr:uid="{00000000-0005-0000-0000-000097000000}"/>
    <cellStyle name="Accent1 5" xfId="155" xr:uid="{00000000-0005-0000-0000-000098000000}"/>
    <cellStyle name="Accent1 5 2" xfId="156" xr:uid="{00000000-0005-0000-0000-000099000000}"/>
    <cellStyle name="Accent2 2" xfId="157" xr:uid="{00000000-0005-0000-0000-00009A000000}"/>
    <cellStyle name="Accent2 2 2" xfId="158" xr:uid="{00000000-0005-0000-0000-00009B000000}"/>
    <cellStyle name="Accent2 3" xfId="159" xr:uid="{00000000-0005-0000-0000-00009C000000}"/>
    <cellStyle name="Accent2 3 2" xfId="160" xr:uid="{00000000-0005-0000-0000-00009D000000}"/>
    <cellStyle name="Accent2 4" xfId="161" xr:uid="{00000000-0005-0000-0000-00009E000000}"/>
    <cellStyle name="Accent2 4 2" xfId="162" xr:uid="{00000000-0005-0000-0000-00009F000000}"/>
    <cellStyle name="Accent2 5" xfId="163" xr:uid="{00000000-0005-0000-0000-0000A0000000}"/>
    <cellStyle name="Accent2 5 2" xfId="164" xr:uid="{00000000-0005-0000-0000-0000A1000000}"/>
    <cellStyle name="Accent3 2" xfId="165" xr:uid="{00000000-0005-0000-0000-0000A2000000}"/>
    <cellStyle name="Accent3 2 2" xfId="166" xr:uid="{00000000-0005-0000-0000-0000A3000000}"/>
    <cellStyle name="Accent3 3" xfId="167" xr:uid="{00000000-0005-0000-0000-0000A4000000}"/>
    <cellStyle name="Accent3 3 2" xfId="168" xr:uid="{00000000-0005-0000-0000-0000A5000000}"/>
    <cellStyle name="Accent3 4" xfId="169" xr:uid="{00000000-0005-0000-0000-0000A6000000}"/>
    <cellStyle name="Accent3 4 2" xfId="170" xr:uid="{00000000-0005-0000-0000-0000A7000000}"/>
    <cellStyle name="Accent3 5" xfId="171" xr:uid="{00000000-0005-0000-0000-0000A8000000}"/>
    <cellStyle name="Accent3 5 2" xfId="172" xr:uid="{00000000-0005-0000-0000-0000A9000000}"/>
    <cellStyle name="Accent4 2" xfId="173" xr:uid="{00000000-0005-0000-0000-0000AA000000}"/>
    <cellStyle name="Accent4 2 2" xfId="174" xr:uid="{00000000-0005-0000-0000-0000AB000000}"/>
    <cellStyle name="Accent4 3" xfId="175" xr:uid="{00000000-0005-0000-0000-0000AC000000}"/>
    <cellStyle name="Accent4 3 2" xfId="176" xr:uid="{00000000-0005-0000-0000-0000AD000000}"/>
    <cellStyle name="Accent4 4" xfId="177" xr:uid="{00000000-0005-0000-0000-0000AE000000}"/>
    <cellStyle name="Accent4 4 2" xfId="178" xr:uid="{00000000-0005-0000-0000-0000AF000000}"/>
    <cellStyle name="Accent4 5" xfId="179" xr:uid="{00000000-0005-0000-0000-0000B0000000}"/>
    <cellStyle name="Accent4 5 2" xfId="180" xr:uid="{00000000-0005-0000-0000-0000B1000000}"/>
    <cellStyle name="Accent5 2" xfId="181" xr:uid="{00000000-0005-0000-0000-0000B2000000}"/>
    <cellStyle name="Accent5 2 2" xfId="182" xr:uid="{00000000-0005-0000-0000-0000B3000000}"/>
    <cellStyle name="Accent5 3" xfId="183" xr:uid="{00000000-0005-0000-0000-0000B4000000}"/>
    <cellStyle name="Accent5 3 2" xfId="184" xr:uid="{00000000-0005-0000-0000-0000B5000000}"/>
    <cellStyle name="Accent5 4" xfId="185" xr:uid="{00000000-0005-0000-0000-0000B6000000}"/>
    <cellStyle name="Accent5 4 2" xfId="186" xr:uid="{00000000-0005-0000-0000-0000B7000000}"/>
    <cellStyle name="Accent5 5" xfId="187" xr:uid="{00000000-0005-0000-0000-0000B8000000}"/>
    <cellStyle name="Accent5 5 2" xfId="188" xr:uid="{00000000-0005-0000-0000-0000B9000000}"/>
    <cellStyle name="Accent6 2" xfId="189" xr:uid="{00000000-0005-0000-0000-0000BA000000}"/>
    <cellStyle name="Accent6 2 2" xfId="190" xr:uid="{00000000-0005-0000-0000-0000BB000000}"/>
    <cellStyle name="Accent6 3" xfId="191" xr:uid="{00000000-0005-0000-0000-0000BC000000}"/>
    <cellStyle name="Accent6 3 2" xfId="192" xr:uid="{00000000-0005-0000-0000-0000BD000000}"/>
    <cellStyle name="Accent6 4" xfId="193" xr:uid="{00000000-0005-0000-0000-0000BE000000}"/>
    <cellStyle name="Accent6 4 2" xfId="194" xr:uid="{00000000-0005-0000-0000-0000BF000000}"/>
    <cellStyle name="Accent6 5" xfId="195" xr:uid="{00000000-0005-0000-0000-0000C0000000}"/>
    <cellStyle name="Accent6 5 2" xfId="196" xr:uid="{00000000-0005-0000-0000-0000C1000000}"/>
    <cellStyle name="Avertissement 2" xfId="197" xr:uid="{00000000-0005-0000-0000-0000C2000000}"/>
    <cellStyle name="Avertissement 2 2" xfId="198" xr:uid="{00000000-0005-0000-0000-0000C3000000}"/>
    <cellStyle name="Avertissement 3" xfId="199" xr:uid="{00000000-0005-0000-0000-0000C4000000}"/>
    <cellStyle name="Avertissement 3 2" xfId="200" xr:uid="{00000000-0005-0000-0000-0000C5000000}"/>
    <cellStyle name="Avertissement 4" xfId="201" xr:uid="{00000000-0005-0000-0000-0000C6000000}"/>
    <cellStyle name="Avertissement 4 2" xfId="202" xr:uid="{00000000-0005-0000-0000-0000C7000000}"/>
    <cellStyle name="Avertissement 5" xfId="203" xr:uid="{00000000-0005-0000-0000-0000C8000000}"/>
    <cellStyle name="Avertissement 5 2" xfId="204" xr:uid="{00000000-0005-0000-0000-0000C9000000}"/>
    <cellStyle name="Bold GHG Numbers (0.00)" xfId="205" xr:uid="{00000000-0005-0000-0000-0000CA000000}"/>
    <cellStyle name="Calcul 2" xfId="206" xr:uid="{00000000-0005-0000-0000-0000CB000000}"/>
    <cellStyle name="Calcul 2 2" xfId="207" xr:uid="{00000000-0005-0000-0000-0000CC000000}"/>
    <cellStyle name="Calcul 3" xfId="208" xr:uid="{00000000-0005-0000-0000-0000CD000000}"/>
    <cellStyle name="Calcul 3 2" xfId="209" xr:uid="{00000000-0005-0000-0000-0000CE000000}"/>
    <cellStyle name="Calcul 4" xfId="210" xr:uid="{00000000-0005-0000-0000-0000CF000000}"/>
    <cellStyle name="Calcul 4 2" xfId="211" xr:uid="{00000000-0005-0000-0000-0000D0000000}"/>
    <cellStyle name="Calcul 5" xfId="212" xr:uid="{00000000-0005-0000-0000-0000D1000000}"/>
    <cellStyle name="Cellule liée 2" xfId="213" xr:uid="{00000000-0005-0000-0000-0000D2000000}"/>
    <cellStyle name="Cellule liée 2 2" xfId="214" xr:uid="{00000000-0005-0000-0000-0000D3000000}"/>
    <cellStyle name="Cellule liée 3" xfId="215" xr:uid="{00000000-0005-0000-0000-0000D4000000}"/>
    <cellStyle name="Cellule liée 3 2" xfId="216" xr:uid="{00000000-0005-0000-0000-0000D5000000}"/>
    <cellStyle name="Cellule liée 4" xfId="217" xr:uid="{00000000-0005-0000-0000-0000D6000000}"/>
    <cellStyle name="Cellule liée 4 2" xfId="218" xr:uid="{00000000-0005-0000-0000-0000D7000000}"/>
    <cellStyle name="Cellule liée 5" xfId="219" xr:uid="{00000000-0005-0000-0000-0000D8000000}"/>
    <cellStyle name="Cellule liée 5 2" xfId="220" xr:uid="{00000000-0005-0000-0000-0000D9000000}"/>
    <cellStyle name="Comma [0]" xfId="221" xr:uid="{00000000-0005-0000-0000-0000DA000000}"/>
    <cellStyle name="Commentaire 2" xfId="222" xr:uid="{00000000-0005-0000-0000-0000DB000000}"/>
    <cellStyle name="Commentaire 2 2" xfId="223" xr:uid="{00000000-0005-0000-0000-0000DC000000}"/>
    <cellStyle name="Commentaire 3" xfId="224" xr:uid="{00000000-0005-0000-0000-0000DD000000}"/>
    <cellStyle name="Commentaire 3 2" xfId="225" xr:uid="{00000000-0005-0000-0000-0000DE000000}"/>
    <cellStyle name="Commentaire 4" xfId="226" xr:uid="{00000000-0005-0000-0000-0000DF000000}"/>
    <cellStyle name="Commentaire 4 2" xfId="227" xr:uid="{00000000-0005-0000-0000-0000E0000000}"/>
    <cellStyle name="Commentaire 5" xfId="228" xr:uid="{00000000-0005-0000-0000-0000E1000000}"/>
    <cellStyle name="Commentaire 5 2" xfId="229" xr:uid="{00000000-0005-0000-0000-0000E2000000}"/>
    <cellStyle name="Currency [0]" xfId="230" xr:uid="{00000000-0005-0000-0000-0000E3000000}"/>
    <cellStyle name="Date" xfId="231" xr:uid="{00000000-0005-0000-0000-0000E4000000}"/>
    <cellStyle name="Date 10" xfId="232" xr:uid="{00000000-0005-0000-0000-0000E5000000}"/>
    <cellStyle name="Date 11" xfId="233" xr:uid="{00000000-0005-0000-0000-0000E6000000}"/>
    <cellStyle name="Date 12" xfId="234" xr:uid="{00000000-0005-0000-0000-0000E7000000}"/>
    <cellStyle name="Date 13" xfId="235" xr:uid="{00000000-0005-0000-0000-0000E8000000}"/>
    <cellStyle name="Date 14" xfId="236" xr:uid="{00000000-0005-0000-0000-0000E9000000}"/>
    <cellStyle name="Date 15" xfId="237" xr:uid="{00000000-0005-0000-0000-0000EA000000}"/>
    <cellStyle name="Date 16" xfId="238" xr:uid="{00000000-0005-0000-0000-0000EB000000}"/>
    <cellStyle name="Date 17" xfId="239" xr:uid="{00000000-0005-0000-0000-0000EC000000}"/>
    <cellStyle name="Date 18" xfId="240" xr:uid="{00000000-0005-0000-0000-0000ED000000}"/>
    <cellStyle name="Date 19" xfId="241" xr:uid="{00000000-0005-0000-0000-0000EE000000}"/>
    <cellStyle name="Date 2" xfId="242" xr:uid="{00000000-0005-0000-0000-0000EF000000}"/>
    <cellStyle name="Date 2 2" xfId="243" xr:uid="{00000000-0005-0000-0000-0000F0000000}"/>
    <cellStyle name="Date 20" xfId="244" xr:uid="{00000000-0005-0000-0000-0000F1000000}"/>
    <cellStyle name="Date 21" xfId="245" xr:uid="{00000000-0005-0000-0000-0000F2000000}"/>
    <cellStyle name="Date 22" xfId="246" xr:uid="{00000000-0005-0000-0000-0000F3000000}"/>
    <cellStyle name="Date 23" xfId="247" xr:uid="{00000000-0005-0000-0000-0000F4000000}"/>
    <cellStyle name="Date 24" xfId="248" xr:uid="{00000000-0005-0000-0000-0000F5000000}"/>
    <cellStyle name="Date 25" xfId="249" xr:uid="{00000000-0005-0000-0000-0000F6000000}"/>
    <cellStyle name="Date 26" xfId="250" xr:uid="{00000000-0005-0000-0000-0000F7000000}"/>
    <cellStyle name="Date 27" xfId="251" xr:uid="{00000000-0005-0000-0000-0000F8000000}"/>
    <cellStyle name="Date 28" xfId="252" xr:uid="{00000000-0005-0000-0000-0000F9000000}"/>
    <cellStyle name="Date 29" xfId="253" xr:uid="{00000000-0005-0000-0000-0000FA000000}"/>
    <cellStyle name="Date 3" xfId="254" xr:uid="{00000000-0005-0000-0000-0000FB000000}"/>
    <cellStyle name="Date 30" xfId="255" xr:uid="{00000000-0005-0000-0000-0000FC000000}"/>
    <cellStyle name="Date 31" xfId="256" xr:uid="{00000000-0005-0000-0000-0000FD000000}"/>
    <cellStyle name="Date 32" xfId="257" xr:uid="{00000000-0005-0000-0000-0000FE000000}"/>
    <cellStyle name="Date 33" xfId="258" xr:uid="{00000000-0005-0000-0000-0000FF000000}"/>
    <cellStyle name="Date 34" xfId="259" xr:uid="{00000000-0005-0000-0000-000000010000}"/>
    <cellStyle name="Date 35" xfId="260" xr:uid="{00000000-0005-0000-0000-000001010000}"/>
    <cellStyle name="Date 36" xfId="261" xr:uid="{00000000-0005-0000-0000-000002010000}"/>
    <cellStyle name="Date 37" xfId="262" xr:uid="{00000000-0005-0000-0000-000003010000}"/>
    <cellStyle name="Date 38" xfId="263" xr:uid="{00000000-0005-0000-0000-000004010000}"/>
    <cellStyle name="Date 39" xfId="264" xr:uid="{00000000-0005-0000-0000-000005010000}"/>
    <cellStyle name="Date 4" xfId="265" xr:uid="{00000000-0005-0000-0000-000006010000}"/>
    <cellStyle name="Date 40" xfId="266" xr:uid="{00000000-0005-0000-0000-000007010000}"/>
    <cellStyle name="Date 5" xfId="267" xr:uid="{00000000-0005-0000-0000-000008010000}"/>
    <cellStyle name="Date 6" xfId="268" xr:uid="{00000000-0005-0000-0000-000009010000}"/>
    <cellStyle name="Date 7" xfId="269" xr:uid="{00000000-0005-0000-0000-00000A010000}"/>
    <cellStyle name="Date 8" xfId="270" xr:uid="{00000000-0005-0000-0000-00000B010000}"/>
    <cellStyle name="Date 9" xfId="271" xr:uid="{00000000-0005-0000-0000-00000C010000}"/>
    <cellStyle name="En-tête 1" xfId="272" xr:uid="{00000000-0005-0000-0000-00000D010000}"/>
    <cellStyle name="En-tête 1 10" xfId="273" xr:uid="{00000000-0005-0000-0000-00000E010000}"/>
    <cellStyle name="En-tête 1 11" xfId="274" xr:uid="{00000000-0005-0000-0000-00000F010000}"/>
    <cellStyle name="En-tête 1 12" xfId="275" xr:uid="{00000000-0005-0000-0000-000010010000}"/>
    <cellStyle name="En-tête 1 13" xfId="276" xr:uid="{00000000-0005-0000-0000-000011010000}"/>
    <cellStyle name="En-tête 1 14" xfId="277" xr:uid="{00000000-0005-0000-0000-000012010000}"/>
    <cellStyle name="En-tête 1 15" xfId="278" xr:uid="{00000000-0005-0000-0000-000013010000}"/>
    <cellStyle name="En-tête 1 16" xfId="279" xr:uid="{00000000-0005-0000-0000-000014010000}"/>
    <cellStyle name="En-tête 1 17" xfId="280" xr:uid="{00000000-0005-0000-0000-000015010000}"/>
    <cellStyle name="En-tête 1 18" xfId="281" xr:uid="{00000000-0005-0000-0000-000016010000}"/>
    <cellStyle name="En-tête 1 19" xfId="282" xr:uid="{00000000-0005-0000-0000-000017010000}"/>
    <cellStyle name="En-tête 1 2" xfId="283" xr:uid="{00000000-0005-0000-0000-000018010000}"/>
    <cellStyle name="En-tête 1 20" xfId="284" xr:uid="{00000000-0005-0000-0000-000019010000}"/>
    <cellStyle name="En-tête 1 21" xfId="285" xr:uid="{00000000-0005-0000-0000-00001A010000}"/>
    <cellStyle name="En-tête 1 22" xfId="286" xr:uid="{00000000-0005-0000-0000-00001B010000}"/>
    <cellStyle name="En-tête 1 23" xfId="287" xr:uid="{00000000-0005-0000-0000-00001C010000}"/>
    <cellStyle name="En-tête 1 24" xfId="288" xr:uid="{00000000-0005-0000-0000-00001D010000}"/>
    <cellStyle name="En-tête 1 25" xfId="289" xr:uid="{00000000-0005-0000-0000-00001E010000}"/>
    <cellStyle name="En-tête 1 26" xfId="290" xr:uid="{00000000-0005-0000-0000-00001F010000}"/>
    <cellStyle name="En-tête 1 27" xfId="291" xr:uid="{00000000-0005-0000-0000-000020010000}"/>
    <cellStyle name="En-tête 1 28" xfId="292" xr:uid="{00000000-0005-0000-0000-000021010000}"/>
    <cellStyle name="En-tête 1 29" xfId="293" xr:uid="{00000000-0005-0000-0000-000022010000}"/>
    <cellStyle name="En-tête 1 3" xfId="294" xr:uid="{00000000-0005-0000-0000-000023010000}"/>
    <cellStyle name="En-tête 1 30" xfId="295" xr:uid="{00000000-0005-0000-0000-000024010000}"/>
    <cellStyle name="En-tête 1 31" xfId="296" xr:uid="{00000000-0005-0000-0000-000025010000}"/>
    <cellStyle name="En-tête 1 32" xfId="297" xr:uid="{00000000-0005-0000-0000-000026010000}"/>
    <cellStyle name="En-tête 1 33" xfId="298" xr:uid="{00000000-0005-0000-0000-000027010000}"/>
    <cellStyle name="En-tête 1 34" xfId="299" xr:uid="{00000000-0005-0000-0000-000028010000}"/>
    <cellStyle name="En-tête 1 35" xfId="300" xr:uid="{00000000-0005-0000-0000-000029010000}"/>
    <cellStyle name="En-tête 1 36" xfId="301" xr:uid="{00000000-0005-0000-0000-00002A010000}"/>
    <cellStyle name="En-tête 1 37" xfId="302" xr:uid="{00000000-0005-0000-0000-00002B010000}"/>
    <cellStyle name="En-tête 1 38" xfId="303" xr:uid="{00000000-0005-0000-0000-00002C010000}"/>
    <cellStyle name="En-tête 1 4" xfId="304" xr:uid="{00000000-0005-0000-0000-00002D010000}"/>
    <cellStyle name="En-tête 1 5" xfId="305" xr:uid="{00000000-0005-0000-0000-00002E010000}"/>
    <cellStyle name="En-tête 1 6" xfId="306" xr:uid="{00000000-0005-0000-0000-00002F010000}"/>
    <cellStyle name="En-tête 1 7" xfId="307" xr:uid="{00000000-0005-0000-0000-000030010000}"/>
    <cellStyle name="En-tête 1 8" xfId="308" xr:uid="{00000000-0005-0000-0000-000031010000}"/>
    <cellStyle name="En-tête 1 9" xfId="309" xr:uid="{00000000-0005-0000-0000-000032010000}"/>
    <cellStyle name="En-tête 2" xfId="310" xr:uid="{00000000-0005-0000-0000-000033010000}"/>
    <cellStyle name="En-tête 2 10" xfId="311" xr:uid="{00000000-0005-0000-0000-000034010000}"/>
    <cellStyle name="En-tête 2 11" xfId="312" xr:uid="{00000000-0005-0000-0000-000035010000}"/>
    <cellStyle name="En-tête 2 12" xfId="313" xr:uid="{00000000-0005-0000-0000-000036010000}"/>
    <cellStyle name="En-tête 2 13" xfId="314" xr:uid="{00000000-0005-0000-0000-000037010000}"/>
    <cellStyle name="En-tête 2 14" xfId="315" xr:uid="{00000000-0005-0000-0000-000038010000}"/>
    <cellStyle name="En-tête 2 15" xfId="316" xr:uid="{00000000-0005-0000-0000-000039010000}"/>
    <cellStyle name="En-tête 2 16" xfId="317" xr:uid="{00000000-0005-0000-0000-00003A010000}"/>
    <cellStyle name="En-tête 2 17" xfId="318" xr:uid="{00000000-0005-0000-0000-00003B010000}"/>
    <cellStyle name="En-tête 2 18" xfId="319" xr:uid="{00000000-0005-0000-0000-00003C010000}"/>
    <cellStyle name="En-tête 2 19" xfId="320" xr:uid="{00000000-0005-0000-0000-00003D010000}"/>
    <cellStyle name="En-tête 2 2" xfId="321" xr:uid="{00000000-0005-0000-0000-00003E010000}"/>
    <cellStyle name="En-tête 2 20" xfId="322" xr:uid="{00000000-0005-0000-0000-00003F010000}"/>
    <cellStyle name="En-tête 2 21" xfId="323" xr:uid="{00000000-0005-0000-0000-000040010000}"/>
    <cellStyle name="En-tête 2 22" xfId="324" xr:uid="{00000000-0005-0000-0000-000041010000}"/>
    <cellStyle name="En-tête 2 23" xfId="325" xr:uid="{00000000-0005-0000-0000-000042010000}"/>
    <cellStyle name="En-tête 2 24" xfId="326" xr:uid="{00000000-0005-0000-0000-000043010000}"/>
    <cellStyle name="En-tête 2 25" xfId="327" xr:uid="{00000000-0005-0000-0000-000044010000}"/>
    <cellStyle name="En-tête 2 26" xfId="328" xr:uid="{00000000-0005-0000-0000-000045010000}"/>
    <cellStyle name="En-tête 2 27" xfId="329" xr:uid="{00000000-0005-0000-0000-000046010000}"/>
    <cellStyle name="En-tête 2 28" xfId="330" xr:uid="{00000000-0005-0000-0000-000047010000}"/>
    <cellStyle name="En-tête 2 29" xfId="331" xr:uid="{00000000-0005-0000-0000-000048010000}"/>
    <cellStyle name="En-tête 2 3" xfId="332" xr:uid="{00000000-0005-0000-0000-000049010000}"/>
    <cellStyle name="En-tête 2 30" xfId="333" xr:uid="{00000000-0005-0000-0000-00004A010000}"/>
    <cellStyle name="En-tête 2 31" xfId="334" xr:uid="{00000000-0005-0000-0000-00004B010000}"/>
    <cellStyle name="En-tête 2 32" xfId="335" xr:uid="{00000000-0005-0000-0000-00004C010000}"/>
    <cellStyle name="En-tête 2 33" xfId="336" xr:uid="{00000000-0005-0000-0000-00004D010000}"/>
    <cellStyle name="En-tête 2 34" xfId="337" xr:uid="{00000000-0005-0000-0000-00004E010000}"/>
    <cellStyle name="En-tête 2 35" xfId="338" xr:uid="{00000000-0005-0000-0000-00004F010000}"/>
    <cellStyle name="En-tête 2 36" xfId="339" xr:uid="{00000000-0005-0000-0000-000050010000}"/>
    <cellStyle name="En-tête 2 37" xfId="340" xr:uid="{00000000-0005-0000-0000-000051010000}"/>
    <cellStyle name="En-tête 2 38" xfId="341" xr:uid="{00000000-0005-0000-0000-000052010000}"/>
    <cellStyle name="En-tête 2 4" xfId="342" xr:uid="{00000000-0005-0000-0000-000053010000}"/>
    <cellStyle name="En-tête 2 5" xfId="343" xr:uid="{00000000-0005-0000-0000-000054010000}"/>
    <cellStyle name="En-tête 2 6" xfId="344" xr:uid="{00000000-0005-0000-0000-000055010000}"/>
    <cellStyle name="En-tête 2 7" xfId="345" xr:uid="{00000000-0005-0000-0000-000056010000}"/>
    <cellStyle name="En-tête 2 8" xfId="346" xr:uid="{00000000-0005-0000-0000-000057010000}"/>
    <cellStyle name="En-tête 2 9" xfId="347" xr:uid="{00000000-0005-0000-0000-000058010000}"/>
    <cellStyle name="EN-TETE1" xfId="348" xr:uid="{00000000-0005-0000-0000-000059010000}"/>
    <cellStyle name="EN-TETE1 2" xfId="349" xr:uid="{00000000-0005-0000-0000-00005A010000}"/>
    <cellStyle name="EN-TETE1 3" xfId="350" xr:uid="{00000000-0005-0000-0000-00005B010000}"/>
    <cellStyle name="EN-TETE2" xfId="351" xr:uid="{00000000-0005-0000-0000-00005C010000}"/>
    <cellStyle name="EN-TETE2 2" xfId="352" xr:uid="{00000000-0005-0000-0000-00005D010000}"/>
    <cellStyle name="EN-TETE2 3" xfId="353" xr:uid="{00000000-0005-0000-0000-00005E010000}"/>
    <cellStyle name="Entrée 2" xfId="354" xr:uid="{00000000-0005-0000-0000-00005F010000}"/>
    <cellStyle name="Entrée 2 2" xfId="355" xr:uid="{00000000-0005-0000-0000-000060010000}"/>
    <cellStyle name="Entrée 3" xfId="356" xr:uid="{00000000-0005-0000-0000-000061010000}"/>
    <cellStyle name="Entrée 3 2" xfId="357" xr:uid="{00000000-0005-0000-0000-000062010000}"/>
    <cellStyle name="Entrée 4" xfId="358" xr:uid="{00000000-0005-0000-0000-000063010000}"/>
    <cellStyle name="Entrée 4 2" xfId="359" xr:uid="{00000000-0005-0000-0000-000064010000}"/>
    <cellStyle name="Entrée 5" xfId="360" xr:uid="{00000000-0005-0000-0000-000065010000}"/>
    <cellStyle name="Entrée 5 2" xfId="361" xr:uid="{00000000-0005-0000-0000-000066010000}"/>
    <cellStyle name="Euro" xfId="362" xr:uid="{00000000-0005-0000-0000-000067010000}"/>
    <cellStyle name="F2" xfId="363" xr:uid="{00000000-0005-0000-0000-000068010000}"/>
    <cellStyle name="F2 10" xfId="364" xr:uid="{00000000-0005-0000-0000-000069010000}"/>
    <cellStyle name="F2 11" xfId="365" xr:uid="{00000000-0005-0000-0000-00006A010000}"/>
    <cellStyle name="F2 12" xfId="366" xr:uid="{00000000-0005-0000-0000-00006B010000}"/>
    <cellStyle name="F2 13" xfId="367" xr:uid="{00000000-0005-0000-0000-00006C010000}"/>
    <cellStyle name="F2 14" xfId="368" xr:uid="{00000000-0005-0000-0000-00006D010000}"/>
    <cellStyle name="F2 15" xfId="369" xr:uid="{00000000-0005-0000-0000-00006E010000}"/>
    <cellStyle name="F2 16" xfId="370" xr:uid="{00000000-0005-0000-0000-00006F010000}"/>
    <cellStyle name="F2 17" xfId="371" xr:uid="{00000000-0005-0000-0000-000070010000}"/>
    <cellStyle name="F2 18" xfId="372" xr:uid="{00000000-0005-0000-0000-000071010000}"/>
    <cellStyle name="F2 19" xfId="373" xr:uid="{00000000-0005-0000-0000-000072010000}"/>
    <cellStyle name="F2 2" xfId="374" xr:uid="{00000000-0005-0000-0000-000073010000}"/>
    <cellStyle name="F2 2 2" xfId="375" xr:uid="{00000000-0005-0000-0000-000074010000}"/>
    <cellStyle name="F2 20" xfId="376" xr:uid="{00000000-0005-0000-0000-000075010000}"/>
    <cellStyle name="F2 21" xfId="377" xr:uid="{00000000-0005-0000-0000-000076010000}"/>
    <cellStyle name="F2 22" xfId="378" xr:uid="{00000000-0005-0000-0000-000077010000}"/>
    <cellStyle name="F2 23" xfId="379" xr:uid="{00000000-0005-0000-0000-000078010000}"/>
    <cellStyle name="F2 24" xfId="380" xr:uid="{00000000-0005-0000-0000-000079010000}"/>
    <cellStyle name="F2 25" xfId="381" xr:uid="{00000000-0005-0000-0000-00007A010000}"/>
    <cellStyle name="F2 26" xfId="382" xr:uid="{00000000-0005-0000-0000-00007B010000}"/>
    <cellStyle name="F2 27" xfId="383" xr:uid="{00000000-0005-0000-0000-00007C010000}"/>
    <cellStyle name="F2 28" xfId="384" xr:uid="{00000000-0005-0000-0000-00007D010000}"/>
    <cellStyle name="F2 29" xfId="385" xr:uid="{00000000-0005-0000-0000-00007E010000}"/>
    <cellStyle name="F2 3" xfId="386" xr:uid="{00000000-0005-0000-0000-00007F010000}"/>
    <cellStyle name="F2 3 2" xfId="387" xr:uid="{00000000-0005-0000-0000-000080010000}"/>
    <cellStyle name="F2 30" xfId="388" xr:uid="{00000000-0005-0000-0000-000081010000}"/>
    <cellStyle name="F2 31" xfId="389" xr:uid="{00000000-0005-0000-0000-000082010000}"/>
    <cellStyle name="F2 32" xfId="390" xr:uid="{00000000-0005-0000-0000-000083010000}"/>
    <cellStyle name="F2 33" xfId="391" xr:uid="{00000000-0005-0000-0000-000084010000}"/>
    <cellStyle name="F2 34" xfId="392" xr:uid="{00000000-0005-0000-0000-000085010000}"/>
    <cellStyle name="F2 35" xfId="393" xr:uid="{00000000-0005-0000-0000-000086010000}"/>
    <cellStyle name="F2 36" xfId="394" xr:uid="{00000000-0005-0000-0000-000087010000}"/>
    <cellStyle name="F2 37" xfId="395" xr:uid="{00000000-0005-0000-0000-000088010000}"/>
    <cellStyle name="F2 38" xfId="396" xr:uid="{00000000-0005-0000-0000-000089010000}"/>
    <cellStyle name="F2 4" xfId="397" xr:uid="{00000000-0005-0000-0000-00008A010000}"/>
    <cellStyle name="F2 5" xfId="398" xr:uid="{00000000-0005-0000-0000-00008B010000}"/>
    <cellStyle name="F2 6" xfId="399" xr:uid="{00000000-0005-0000-0000-00008C010000}"/>
    <cellStyle name="F2 7" xfId="400" xr:uid="{00000000-0005-0000-0000-00008D010000}"/>
    <cellStyle name="F2 8" xfId="401" xr:uid="{00000000-0005-0000-0000-00008E010000}"/>
    <cellStyle name="F2 9" xfId="402" xr:uid="{00000000-0005-0000-0000-00008F010000}"/>
    <cellStyle name="F3" xfId="403" xr:uid="{00000000-0005-0000-0000-000090010000}"/>
    <cellStyle name="F3 10" xfId="404" xr:uid="{00000000-0005-0000-0000-000091010000}"/>
    <cellStyle name="F3 11" xfId="405" xr:uid="{00000000-0005-0000-0000-000092010000}"/>
    <cellStyle name="F3 12" xfId="406" xr:uid="{00000000-0005-0000-0000-000093010000}"/>
    <cellStyle name="F3 13" xfId="407" xr:uid="{00000000-0005-0000-0000-000094010000}"/>
    <cellStyle name="F3 14" xfId="408" xr:uid="{00000000-0005-0000-0000-000095010000}"/>
    <cellStyle name="F3 15" xfId="409" xr:uid="{00000000-0005-0000-0000-000096010000}"/>
    <cellStyle name="F3 16" xfId="410" xr:uid="{00000000-0005-0000-0000-000097010000}"/>
    <cellStyle name="F3 17" xfId="411" xr:uid="{00000000-0005-0000-0000-000098010000}"/>
    <cellStyle name="F3 18" xfId="412" xr:uid="{00000000-0005-0000-0000-000099010000}"/>
    <cellStyle name="F3 19" xfId="413" xr:uid="{00000000-0005-0000-0000-00009A010000}"/>
    <cellStyle name="F3 2" xfId="414" xr:uid="{00000000-0005-0000-0000-00009B010000}"/>
    <cellStyle name="F3 2 2" xfId="415" xr:uid="{00000000-0005-0000-0000-00009C010000}"/>
    <cellStyle name="F3 20" xfId="416" xr:uid="{00000000-0005-0000-0000-00009D010000}"/>
    <cellStyle name="F3 21" xfId="417" xr:uid="{00000000-0005-0000-0000-00009E010000}"/>
    <cellStyle name="F3 22" xfId="418" xr:uid="{00000000-0005-0000-0000-00009F010000}"/>
    <cellStyle name="F3 23" xfId="419" xr:uid="{00000000-0005-0000-0000-0000A0010000}"/>
    <cellStyle name="F3 24" xfId="420" xr:uid="{00000000-0005-0000-0000-0000A1010000}"/>
    <cellStyle name="F3 25" xfId="421" xr:uid="{00000000-0005-0000-0000-0000A2010000}"/>
    <cellStyle name="F3 26" xfId="422" xr:uid="{00000000-0005-0000-0000-0000A3010000}"/>
    <cellStyle name="F3 27" xfId="423" xr:uid="{00000000-0005-0000-0000-0000A4010000}"/>
    <cellStyle name="F3 28" xfId="424" xr:uid="{00000000-0005-0000-0000-0000A5010000}"/>
    <cellStyle name="F3 29" xfId="425" xr:uid="{00000000-0005-0000-0000-0000A6010000}"/>
    <cellStyle name="F3 3" xfId="426" xr:uid="{00000000-0005-0000-0000-0000A7010000}"/>
    <cellStyle name="F3 3 2" xfId="427" xr:uid="{00000000-0005-0000-0000-0000A8010000}"/>
    <cellStyle name="F3 30" xfId="428" xr:uid="{00000000-0005-0000-0000-0000A9010000}"/>
    <cellStyle name="F3 31" xfId="429" xr:uid="{00000000-0005-0000-0000-0000AA010000}"/>
    <cellStyle name="F3 32" xfId="430" xr:uid="{00000000-0005-0000-0000-0000AB010000}"/>
    <cellStyle name="F3 33" xfId="431" xr:uid="{00000000-0005-0000-0000-0000AC010000}"/>
    <cellStyle name="F3 34" xfId="432" xr:uid="{00000000-0005-0000-0000-0000AD010000}"/>
    <cellStyle name="F3 35" xfId="433" xr:uid="{00000000-0005-0000-0000-0000AE010000}"/>
    <cellStyle name="F3 36" xfId="434" xr:uid="{00000000-0005-0000-0000-0000AF010000}"/>
    <cellStyle name="F3 37" xfId="435" xr:uid="{00000000-0005-0000-0000-0000B0010000}"/>
    <cellStyle name="F3 38" xfId="436" xr:uid="{00000000-0005-0000-0000-0000B1010000}"/>
    <cellStyle name="F3 4" xfId="437" xr:uid="{00000000-0005-0000-0000-0000B2010000}"/>
    <cellStyle name="F3 5" xfId="438" xr:uid="{00000000-0005-0000-0000-0000B3010000}"/>
    <cellStyle name="F3 6" xfId="439" xr:uid="{00000000-0005-0000-0000-0000B4010000}"/>
    <cellStyle name="F3 7" xfId="440" xr:uid="{00000000-0005-0000-0000-0000B5010000}"/>
    <cellStyle name="F3 8" xfId="441" xr:uid="{00000000-0005-0000-0000-0000B6010000}"/>
    <cellStyle name="F3 9" xfId="442" xr:uid="{00000000-0005-0000-0000-0000B7010000}"/>
    <cellStyle name="F4" xfId="443" xr:uid="{00000000-0005-0000-0000-0000B8010000}"/>
    <cellStyle name="F4 10" xfId="444" xr:uid="{00000000-0005-0000-0000-0000B9010000}"/>
    <cellStyle name="F4 11" xfId="445" xr:uid="{00000000-0005-0000-0000-0000BA010000}"/>
    <cellStyle name="F4 12" xfId="446" xr:uid="{00000000-0005-0000-0000-0000BB010000}"/>
    <cellStyle name="F4 13" xfId="447" xr:uid="{00000000-0005-0000-0000-0000BC010000}"/>
    <cellStyle name="F4 14" xfId="448" xr:uid="{00000000-0005-0000-0000-0000BD010000}"/>
    <cellStyle name="F4 15" xfId="449" xr:uid="{00000000-0005-0000-0000-0000BE010000}"/>
    <cellStyle name="F4 16" xfId="450" xr:uid="{00000000-0005-0000-0000-0000BF010000}"/>
    <cellStyle name="F4 17" xfId="451" xr:uid="{00000000-0005-0000-0000-0000C0010000}"/>
    <cellStyle name="F4 18" xfId="452" xr:uid="{00000000-0005-0000-0000-0000C1010000}"/>
    <cellStyle name="F4 19" xfId="453" xr:uid="{00000000-0005-0000-0000-0000C2010000}"/>
    <cellStyle name="F4 2" xfId="454" xr:uid="{00000000-0005-0000-0000-0000C3010000}"/>
    <cellStyle name="F4 2 2" xfId="455" xr:uid="{00000000-0005-0000-0000-0000C4010000}"/>
    <cellStyle name="F4 20" xfId="456" xr:uid="{00000000-0005-0000-0000-0000C5010000}"/>
    <cellStyle name="F4 21" xfId="457" xr:uid="{00000000-0005-0000-0000-0000C6010000}"/>
    <cellStyle name="F4 22" xfId="458" xr:uid="{00000000-0005-0000-0000-0000C7010000}"/>
    <cellStyle name="F4 23" xfId="459" xr:uid="{00000000-0005-0000-0000-0000C8010000}"/>
    <cellStyle name="F4 24" xfId="460" xr:uid="{00000000-0005-0000-0000-0000C9010000}"/>
    <cellStyle name="F4 25" xfId="461" xr:uid="{00000000-0005-0000-0000-0000CA010000}"/>
    <cellStyle name="F4 26" xfId="462" xr:uid="{00000000-0005-0000-0000-0000CB010000}"/>
    <cellStyle name="F4 27" xfId="463" xr:uid="{00000000-0005-0000-0000-0000CC010000}"/>
    <cellStyle name="F4 28" xfId="464" xr:uid="{00000000-0005-0000-0000-0000CD010000}"/>
    <cellStyle name="F4 29" xfId="465" xr:uid="{00000000-0005-0000-0000-0000CE010000}"/>
    <cellStyle name="F4 3" xfId="466" xr:uid="{00000000-0005-0000-0000-0000CF010000}"/>
    <cellStyle name="F4 3 2" xfId="467" xr:uid="{00000000-0005-0000-0000-0000D0010000}"/>
    <cellStyle name="F4 30" xfId="468" xr:uid="{00000000-0005-0000-0000-0000D1010000}"/>
    <cellStyle name="F4 31" xfId="469" xr:uid="{00000000-0005-0000-0000-0000D2010000}"/>
    <cellStyle name="F4 32" xfId="470" xr:uid="{00000000-0005-0000-0000-0000D3010000}"/>
    <cellStyle name="F4 33" xfId="471" xr:uid="{00000000-0005-0000-0000-0000D4010000}"/>
    <cellStyle name="F4 34" xfId="472" xr:uid="{00000000-0005-0000-0000-0000D5010000}"/>
    <cellStyle name="F4 35" xfId="473" xr:uid="{00000000-0005-0000-0000-0000D6010000}"/>
    <cellStyle name="F4 36" xfId="474" xr:uid="{00000000-0005-0000-0000-0000D7010000}"/>
    <cellStyle name="F4 37" xfId="475" xr:uid="{00000000-0005-0000-0000-0000D8010000}"/>
    <cellStyle name="F4 38" xfId="476" xr:uid="{00000000-0005-0000-0000-0000D9010000}"/>
    <cellStyle name="F4 4" xfId="477" xr:uid="{00000000-0005-0000-0000-0000DA010000}"/>
    <cellStyle name="F4 5" xfId="478" xr:uid="{00000000-0005-0000-0000-0000DB010000}"/>
    <cellStyle name="F4 6" xfId="479" xr:uid="{00000000-0005-0000-0000-0000DC010000}"/>
    <cellStyle name="F4 7" xfId="480" xr:uid="{00000000-0005-0000-0000-0000DD010000}"/>
    <cellStyle name="F4 8" xfId="481" xr:uid="{00000000-0005-0000-0000-0000DE010000}"/>
    <cellStyle name="F4 9" xfId="482" xr:uid="{00000000-0005-0000-0000-0000DF010000}"/>
    <cellStyle name="F5" xfId="483" xr:uid="{00000000-0005-0000-0000-0000E0010000}"/>
    <cellStyle name="F5 10" xfId="484" xr:uid="{00000000-0005-0000-0000-0000E1010000}"/>
    <cellStyle name="F5 11" xfId="485" xr:uid="{00000000-0005-0000-0000-0000E2010000}"/>
    <cellStyle name="F5 12" xfId="486" xr:uid="{00000000-0005-0000-0000-0000E3010000}"/>
    <cellStyle name="F5 13" xfId="487" xr:uid="{00000000-0005-0000-0000-0000E4010000}"/>
    <cellStyle name="F5 14" xfId="488" xr:uid="{00000000-0005-0000-0000-0000E5010000}"/>
    <cellStyle name="F5 15" xfId="489" xr:uid="{00000000-0005-0000-0000-0000E6010000}"/>
    <cellStyle name="F5 16" xfId="490" xr:uid="{00000000-0005-0000-0000-0000E7010000}"/>
    <cellStyle name="F5 17" xfId="491" xr:uid="{00000000-0005-0000-0000-0000E8010000}"/>
    <cellStyle name="F5 18" xfId="492" xr:uid="{00000000-0005-0000-0000-0000E9010000}"/>
    <cellStyle name="F5 19" xfId="493" xr:uid="{00000000-0005-0000-0000-0000EA010000}"/>
    <cellStyle name="F5 2" xfId="494" xr:uid="{00000000-0005-0000-0000-0000EB010000}"/>
    <cellStyle name="F5 2 2" xfId="495" xr:uid="{00000000-0005-0000-0000-0000EC010000}"/>
    <cellStyle name="F5 20" xfId="496" xr:uid="{00000000-0005-0000-0000-0000ED010000}"/>
    <cellStyle name="F5 21" xfId="497" xr:uid="{00000000-0005-0000-0000-0000EE010000}"/>
    <cellStyle name="F5 22" xfId="498" xr:uid="{00000000-0005-0000-0000-0000EF010000}"/>
    <cellStyle name="F5 23" xfId="499" xr:uid="{00000000-0005-0000-0000-0000F0010000}"/>
    <cellStyle name="F5 24" xfId="500" xr:uid="{00000000-0005-0000-0000-0000F1010000}"/>
    <cellStyle name="F5 25" xfId="501" xr:uid="{00000000-0005-0000-0000-0000F2010000}"/>
    <cellStyle name="F5 26" xfId="502" xr:uid="{00000000-0005-0000-0000-0000F3010000}"/>
    <cellStyle name="F5 27" xfId="503" xr:uid="{00000000-0005-0000-0000-0000F4010000}"/>
    <cellStyle name="F5 28" xfId="504" xr:uid="{00000000-0005-0000-0000-0000F5010000}"/>
    <cellStyle name="F5 29" xfId="505" xr:uid="{00000000-0005-0000-0000-0000F6010000}"/>
    <cellStyle name="F5 3" xfId="506" xr:uid="{00000000-0005-0000-0000-0000F7010000}"/>
    <cellStyle name="F5 3 2" xfId="507" xr:uid="{00000000-0005-0000-0000-0000F8010000}"/>
    <cellStyle name="F5 30" xfId="508" xr:uid="{00000000-0005-0000-0000-0000F9010000}"/>
    <cellStyle name="F5 31" xfId="509" xr:uid="{00000000-0005-0000-0000-0000FA010000}"/>
    <cellStyle name="F5 32" xfId="510" xr:uid="{00000000-0005-0000-0000-0000FB010000}"/>
    <cellStyle name="F5 33" xfId="511" xr:uid="{00000000-0005-0000-0000-0000FC010000}"/>
    <cellStyle name="F5 34" xfId="512" xr:uid="{00000000-0005-0000-0000-0000FD010000}"/>
    <cellStyle name="F5 35" xfId="513" xr:uid="{00000000-0005-0000-0000-0000FE010000}"/>
    <cellStyle name="F5 36" xfId="514" xr:uid="{00000000-0005-0000-0000-0000FF010000}"/>
    <cellStyle name="F5 37" xfId="515" xr:uid="{00000000-0005-0000-0000-000000020000}"/>
    <cellStyle name="F5 38" xfId="516" xr:uid="{00000000-0005-0000-0000-000001020000}"/>
    <cellStyle name="F5 4" xfId="517" xr:uid="{00000000-0005-0000-0000-000002020000}"/>
    <cellStyle name="F5 5" xfId="518" xr:uid="{00000000-0005-0000-0000-000003020000}"/>
    <cellStyle name="F5 6" xfId="519" xr:uid="{00000000-0005-0000-0000-000004020000}"/>
    <cellStyle name="F5 7" xfId="520" xr:uid="{00000000-0005-0000-0000-000005020000}"/>
    <cellStyle name="F5 8" xfId="521" xr:uid="{00000000-0005-0000-0000-000006020000}"/>
    <cellStyle name="F5 9" xfId="522" xr:uid="{00000000-0005-0000-0000-000007020000}"/>
    <cellStyle name="F6" xfId="523" xr:uid="{00000000-0005-0000-0000-000008020000}"/>
    <cellStyle name="F6 10" xfId="524" xr:uid="{00000000-0005-0000-0000-000009020000}"/>
    <cellStyle name="F6 11" xfId="525" xr:uid="{00000000-0005-0000-0000-00000A020000}"/>
    <cellStyle name="F6 12" xfId="526" xr:uid="{00000000-0005-0000-0000-00000B020000}"/>
    <cellStyle name="F6 13" xfId="527" xr:uid="{00000000-0005-0000-0000-00000C020000}"/>
    <cellStyle name="F6 14" xfId="528" xr:uid="{00000000-0005-0000-0000-00000D020000}"/>
    <cellStyle name="F6 15" xfId="529" xr:uid="{00000000-0005-0000-0000-00000E020000}"/>
    <cellStyle name="F6 16" xfId="530" xr:uid="{00000000-0005-0000-0000-00000F020000}"/>
    <cellStyle name="F6 17" xfId="531" xr:uid="{00000000-0005-0000-0000-000010020000}"/>
    <cellStyle name="F6 18" xfId="532" xr:uid="{00000000-0005-0000-0000-000011020000}"/>
    <cellStyle name="F6 19" xfId="533" xr:uid="{00000000-0005-0000-0000-000012020000}"/>
    <cellStyle name="F6 2" xfId="534" xr:uid="{00000000-0005-0000-0000-000013020000}"/>
    <cellStyle name="F6 2 2" xfId="535" xr:uid="{00000000-0005-0000-0000-000014020000}"/>
    <cellStyle name="F6 20" xfId="536" xr:uid="{00000000-0005-0000-0000-000015020000}"/>
    <cellStyle name="F6 21" xfId="537" xr:uid="{00000000-0005-0000-0000-000016020000}"/>
    <cellStyle name="F6 22" xfId="538" xr:uid="{00000000-0005-0000-0000-000017020000}"/>
    <cellStyle name="F6 23" xfId="539" xr:uid="{00000000-0005-0000-0000-000018020000}"/>
    <cellStyle name="F6 24" xfId="540" xr:uid="{00000000-0005-0000-0000-000019020000}"/>
    <cellStyle name="F6 25" xfId="541" xr:uid="{00000000-0005-0000-0000-00001A020000}"/>
    <cellStyle name="F6 26" xfId="542" xr:uid="{00000000-0005-0000-0000-00001B020000}"/>
    <cellStyle name="F6 27" xfId="543" xr:uid="{00000000-0005-0000-0000-00001C020000}"/>
    <cellStyle name="F6 28" xfId="544" xr:uid="{00000000-0005-0000-0000-00001D020000}"/>
    <cellStyle name="F6 29" xfId="545" xr:uid="{00000000-0005-0000-0000-00001E020000}"/>
    <cellStyle name="F6 3" xfId="546" xr:uid="{00000000-0005-0000-0000-00001F020000}"/>
    <cellStyle name="F6 3 2" xfId="547" xr:uid="{00000000-0005-0000-0000-000020020000}"/>
    <cellStyle name="F6 30" xfId="548" xr:uid="{00000000-0005-0000-0000-000021020000}"/>
    <cellStyle name="F6 31" xfId="549" xr:uid="{00000000-0005-0000-0000-000022020000}"/>
    <cellStyle name="F6 32" xfId="550" xr:uid="{00000000-0005-0000-0000-000023020000}"/>
    <cellStyle name="F6 33" xfId="551" xr:uid="{00000000-0005-0000-0000-000024020000}"/>
    <cellStyle name="F6 34" xfId="552" xr:uid="{00000000-0005-0000-0000-000025020000}"/>
    <cellStyle name="F6 35" xfId="553" xr:uid="{00000000-0005-0000-0000-000026020000}"/>
    <cellStyle name="F6 36" xfId="554" xr:uid="{00000000-0005-0000-0000-000027020000}"/>
    <cellStyle name="F6 37" xfId="555" xr:uid="{00000000-0005-0000-0000-000028020000}"/>
    <cellStyle name="F6 38" xfId="556" xr:uid="{00000000-0005-0000-0000-000029020000}"/>
    <cellStyle name="F6 4" xfId="557" xr:uid="{00000000-0005-0000-0000-00002A020000}"/>
    <cellStyle name="F6 5" xfId="558" xr:uid="{00000000-0005-0000-0000-00002B020000}"/>
    <cellStyle name="F6 6" xfId="559" xr:uid="{00000000-0005-0000-0000-00002C020000}"/>
    <cellStyle name="F6 7" xfId="560" xr:uid="{00000000-0005-0000-0000-00002D020000}"/>
    <cellStyle name="F6 8" xfId="561" xr:uid="{00000000-0005-0000-0000-00002E020000}"/>
    <cellStyle name="F6 9" xfId="562" xr:uid="{00000000-0005-0000-0000-00002F020000}"/>
    <cellStyle name="F7" xfId="563" xr:uid="{00000000-0005-0000-0000-000030020000}"/>
    <cellStyle name="F7 10" xfId="564" xr:uid="{00000000-0005-0000-0000-000031020000}"/>
    <cellStyle name="F7 11" xfId="565" xr:uid="{00000000-0005-0000-0000-000032020000}"/>
    <cellStyle name="F7 12" xfId="566" xr:uid="{00000000-0005-0000-0000-000033020000}"/>
    <cellStyle name="F7 13" xfId="567" xr:uid="{00000000-0005-0000-0000-000034020000}"/>
    <cellStyle name="F7 14" xfId="568" xr:uid="{00000000-0005-0000-0000-000035020000}"/>
    <cellStyle name="F7 15" xfId="569" xr:uid="{00000000-0005-0000-0000-000036020000}"/>
    <cellStyle name="F7 16" xfId="570" xr:uid="{00000000-0005-0000-0000-000037020000}"/>
    <cellStyle name="F7 17" xfId="571" xr:uid="{00000000-0005-0000-0000-000038020000}"/>
    <cellStyle name="F7 18" xfId="572" xr:uid="{00000000-0005-0000-0000-000039020000}"/>
    <cellStyle name="F7 19" xfId="573" xr:uid="{00000000-0005-0000-0000-00003A020000}"/>
    <cellStyle name="F7 2" xfId="574" xr:uid="{00000000-0005-0000-0000-00003B020000}"/>
    <cellStyle name="F7 2 2" xfId="575" xr:uid="{00000000-0005-0000-0000-00003C020000}"/>
    <cellStyle name="F7 20" xfId="576" xr:uid="{00000000-0005-0000-0000-00003D020000}"/>
    <cellStyle name="F7 21" xfId="577" xr:uid="{00000000-0005-0000-0000-00003E020000}"/>
    <cellStyle name="F7 22" xfId="578" xr:uid="{00000000-0005-0000-0000-00003F020000}"/>
    <cellStyle name="F7 23" xfId="579" xr:uid="{00000000-0005-0000-0000-000040020000}"/>
    <cellStyle name="F7 24" xfId="580" xr:uid="{00000000-0005-0000-0000-000041020000}"/>
    <cellStyle name="F7 25" xfId="581" xr:uid="{00000000-0005-0000-0000-000042020000}"/>
    <cellStyle name="F7 26" xfId="582" xr:uid="{00000000-0005-0000-0000-000043020000}"/>
    <cellStyle name="F7 27" xfId="583" xr:uid="{00000000-0005-0000-0000-000044020000}"/>
    <cellStyle name="F7 28" xfId="584" xr:uid="{00000000-0005-0000-0000-000045020000}"/>
    <cellStyle name="F7 29" xfId="585" xr:uid="{00000000-0005-0000-0000-000046020000}"/>
    <cellStyle name="F7 3" xfId="586" xr:uid="{00000000-0005-0000-0000-000047020000}"/>
    <cellStyle name="F7 3 2" xfId="587" xr:uid="{00000000-0005-0000-0000-000048020000}"/>
    <cellStyle name="F7 30" xfId="588" xr:uid="{00000000-0005-0000-0000-000049020000}"/>
    <cellStyle name="F7 31" xfId="589" xr:uid="{00000000-0005-0000-0000-00004A020000}"/>
    <cellStyle name="F7 32" xfId="590" xr:uid="{00000000-0005-0000-0000-00004B020000}"/>
    <cellStyle name="F7 33" xfId="591" xr:uid="{00000000-0005-0000-0000-00004C020000}"/>
    <cellStyle name="F7 34" xfId="592" xr:uid="{00000000-0005-0000-0000-00004D020000}"/>
    <cellStyle name="F7 35" xfId="593" xr:uid="{00000000-0005-0000-0000-00004E020000}"/>
    <cellStyle name="F7 36" xfId="594" xr:uid="{00000000-0005-0000-0000-00004F020000}"/>
    <cellStyle name="F7 37" xfId="595" xr:uid="{00000000-0005-0000-0000-000050020000}"/>
    <cellStyle name="F7 38" xfId="596" xr:uid="{00000000-0005-0000-0000-000051020000}"/>
    <cellStyle name="F7 4" xfId="597" xr:uid="{00000000-0005-0000-0000-000052020000}"/>
    <cellStyle name="F7 5" xfId="598" xr:uid="{00000000-0005-0000-0000-000053020000}"/>
    <cellStyle name="F7 6" xfId="599" xr:uid="{00000000-0005-0000-0000-000054020000}"/>
    <cellStyle name="F7 7" xfId="600" xr:uid="{00000000-0005-0000-0000-000055020000}"/>
    <cellStyle name="F7 8" xfId="601" xr:uid="{00000000-0005-0000-0000-000056020000}"/>
    <cellStyle name="F7 9" xfId="602" xr:uid="{00000000-0005-0000-0000-000057020000}"/>
    <cellStyle name="F8" xfId="603" xr:uid="{00000000-0005-0000-0000-000058020000}"/>
    <cellStyle name="F8 10" xfId="604" xr:uid="{00000000-0005-0000-0000-000059020000}"/>
    <cellStyle name="F8 11" xfId="605" xr:uid="{00000000-0005-0000-0000-00005A020000}"/>
    <cellStyle name="F8 12" xfId="606" xr:uid="{00000000-0005-0000-0000-00005B020000}"/>
    <cellStyle name="F8 13" xfId="607" xr:uid="{00000000-0005-0000-0000-00005C020000}"/>
    <cellStyle name="F8 14" xfId="608" xr:uid="{00000000-0005-0000-0000-00005D020000}"/>
    <cellStyle name="F8 15" xfId="609" xr:uid="{00000000-0005-0000-0000-00005E020000}"/>
    <cellStyle name="F8 16" xfId="610" xr:uid="{00000000-0005-0000-0000-00005F020000}"/>
    <cellStyle name="F8 17" xfId="611" xr:uid="{00000000-0005-0000-0000-000060020000}"/>
    <cellStyle name="F8 18" xfId="612" xr:uid="{00000000-0005-0000-0000-000061020000}"/>
    <cellStyle name="F8 19" xfId="613" xr:uid="{00000000-0005-0000-0000-000062020000}"/>
    <cellStyle name="F8 2" xfId="614" xr:uid="{00000000-0005-0000-0000-000063020000}"/>
    <cellStyle name="F8 2 2" xfId="615" xr:uid="{00000000-0005-0000-0000-000064020000}"/>
    <cellStyle name="F8 20" xfId="616" xr:uid="{00000000-0005-0000-0000-000065020000}"/>
    <cellStyle name="F8 21" xfId="617" xr:uid="{00000000-0005-0000-0000-000066020000}"/>
    <cellStyle name="F8 22" xfId="618" xr:uid="{00000000-0005-0000-0000-000067020000}"/>
    <cellStyle name="F8 23" xfId="619" xr:uid="{00000000-0005-0000-0000-000068020000}"/>
    <cellStyle name="F8 24" xfId="620" xr:uid="{00000000-0005-0000-0000-000069020000}"/>
    <cellStyle name="F8 25" xfId="621" xr:uid="{00000000-0005-0000-0000-00006A020000}"/>
    <cellStyle name="F8 26" xfId="622" xr:uid="{00000000-0005-0000-0000-00006B020000}"/>
    <cellStyle name="F8 27" xfId="623" xr:uid="{00000000-0005-0000-0000-00006C020000}"/>
    <cellStyle name="F8 28" xfId="624" xr:uid="{00000000-0005-0000-0000-00006D020000}"/>
    <cellStyle name="F8 29" xfId="625" xr:uid="{00000000-0005-0000-0000-00006E020000}"/>
    <cellStyle name="F8 3" xfId="626" xr:uid="{00000000-0005-0000-0000-00006F020000}"/>
    <cellStyle name="F8 3 2" xfId="627" xr:uid="{00000000-0005-0000-0000-000070020000}"/>
    <cellStyle name="F8 30" xfId="628" xr:uid="{00000000-0005-0000-0000-000071020000}"/>
    <cellStyle name="F8 31" xfId="629" xr:uid="{00000000-0005-0000-0000-000072020000}"/>
    <cellStyle name="F8 32" xfId="630" xr:uid="{00000000-0005-0000-0000-000073020000}"/>
    <cellStyle name="F8 33" xfId="631" xr:uid="{00000000-0005-0000-0000-000074020000}"/>
    <cellStyle name="F8 34" xfId="632" xr:uid="{00000000-0005-0000-0000-000075020000}"/>
    <cellStyle name="F8 35" xfId="633" xr:uid="{00000000-0005-0000-0000-000076020000}"/>
    <cellStyle name="F8 36" xfId="634" xr:uid="{00000000-0005-0000-0000-000077020000}"/>
    <cellStyle name="F8 37" xfId="635" xr:uid="{00000000-0005-0000-0000-000078020000}"/>
    <cellStyle name="F8 38" xfId="636" xr:uid="{00000000-0005-0000-0000-000079020000}"/>
    <cellStyle name="F8 4" xfId="637" xr:uid="{00000000-0005-0000-0000-00007A020000}"/>
    <cellStyle name="F8 5" xfId="638" xr:uid="{00000000-0005-0000-0000-00007B020000}"/>
    <cellStyle name="F8 6" xfId="639" xr:uid="{00000000-0005-0000-0000-00007C020000}"/>
    <cellStyle name="F8 7" xfId="640" xr:uid="{00000000-0005-0000-0000-00007D020000}"/>
    <cellStyle name="F8 8" xfId="641" xr:uid="{00000000-0005-0000-0000-00007E020000}"/>
    <cellStyle name="F8 9" xfId="642" xr:uid="{00000000-0005-0000-0000-00007F020000}"/>
    <cellStyle name="Financier0" xfId="643" xr:uid="{00000000-0005-0000-0000-000080020000}"/>
    <cellStyle name="Financier0 10" xfId="644" xr:uid="{00000000-0005-0000-0000-000081020000}"/>
    <cellStyle name="Financier0 11" xfId="645" xr:uid="{00000000-0005-0000-0000-000082020000}"/>
    <cellStyle name="Financier0 12" xfId="646" xr:uid="{00000000-0005-0000-0000-000083020000}"/>
    <cellStyle name="Financier0 13" xfId="647" xr:uid="{00000000-0005-0000-0000-000084020000}"/>
    <cellStyle name="Financier0 14" xfId="648" xr:uid="{00000000-0005-0000-0000-000085020000}"/>
    <cellStyle name="Financier0 15" xfId="649" xr:uid="{00000000-0005-0000-0000-000086020000}"/>
    <cellStyle name="Financier0 16" xfId="650" xr:uid="{00000000-0005-0000-0000-000087020000}"/>
    <cellStyle name="Financier0 17" xfId="651" xr:uid="{00000000-0005-0000-0000-000088020000}"/>
    <cellStyle name="Financier0 18" xfId="652" xr:uid="{00000000-0005-0000-0000-000089020000}"/>
    <cellStyle name="Financier0 19" xfId="653" xr:uid="{00000000-0005-0000-0000-00008A020000}"/>
    <cellStyle name="Financier0 2" xfId="654" xr:uid="{00000000-0005-0000-0000-00008B020000}"/>
    <cellStyle name="Financier0 20" xfId="655" xr:uid="{00000000-0005-0000-0000-00008C020000}"/>
    <cellStyle name="Financier0 21" xfId="656" xr:uid="{00000000-0005-0000-0000-00008D020000}"/>
    <cellStyle name="Financier0 22" xfId="657" xr:uid="{00000000-0005-0000-0000-00008E020000}"/>
    <cellStyle name="Financier0 23" xfId="658" xr:uid="{00000000-0005-0000-0000-00008F020000}"/>
    <cellStyle name="Financier0 24" xfId="659" xr:uid="{00000000-0005-0000-0000-000090020000}"/>
    <cellStyle name="Financier0 25" xfId="660" xr:uid="{00000000-0005-0000-0000-000091020000}"/>
    <cellStyle name="Financier0 26" xfId="661" xr:uid="{00000000-0005-0000-0000-000092020000}"/>
    <cellStyle name="Financier0 27" xfId="662" xr:uid="{00000000-0005-0000-0000-000093020000}"/>
    <cellStyle name="Financier0 28" xfId="663" xr:uid="{00000000-0005-0000-0000-000094020000}"/>
    <cellStyle name="Financier0 29" xfId="664" xr:uid="{00000000-0005-0000-0000-000095020000}"/>
    <cellStyle name="Financier0 3" xfId="665" xr:uid="{00000000-0005-0000-0000-000096020000}"/>
    <cellStyle name="Financier0 30" xfId="666" xr:uid="{00000000-0005-0000-0000-000097020000}"/>
    <cellStyle name="Financier0 31" xfId="667" xr:uid="{00000000-0005-0000-0000-000098020000}"/>
    <cellStyle name="Financier0 32" xfId="668" xr:uid="{00000000-0005-0000-0000-000099020000}"/>
    <cellStyle name="Financier0 33" xfId="669" xr:uid="{00000000-0005-0000-0000-00009A020000}"/>
    <cellStyle name="Financier0 34" xfId="670" xr:uid="{00000000-0005-0000-0000-00009B020000}"/>
    <cellStyle name="Financier0 35" xfId="671" xr:uid="{00000000-0005-0000-0000-00009C020000}"/>
    <cellStyle name="Financier0 36" xfId="672" xr:uid="{00000000-0005-0000-0000-00009D020000}"/>
    <cellStyle name="Financier0 37" xfId="673" xr:uid="{00000000-0005-0000-0000-00009E020000}"/>
    <cellStyle name="Financier0 38" xfId="674" xr:uid="{00000000-0005-0000-0000-00009F020000}"/>
    <cellStyle name="Financier0 4" xfId="675" xr:uid="{00000000-0005-0000-0000-0000A0020000}"/>
    <cellStyle name="Financier0 5" xfId="676" xr:uid="{00000000-0005-0000-0000-0000A1020000}"/>
    <cellStyle name="Financier0 6" xfId="677" xr:uid="{00000000-0005-0000-0000-0000A2020000}"/>
    <cellStyle name="Financier0 7" xfId="678" xr:uid="{00000000-0005-0000-0000-0000A3020000}"/>
    <cellStyle name="Financier0 8" xfId="679" xr:uid="{00000000-0005-0000-0000-0000A4020000}"/>
    <cellStyle name="Financier0 9" xfId="680" xr:uid="{00000000-0005-0000-0000-0000A5020000}"/>
    <cellStyle name="FIXE" xfId="681" xr:uid="{00000000-0005-0000-0000-0000A6020000}"/>
    <cellStyle name="FIXE 2" xfId="682" xr:uid="{00000000-0005-0000-0000-0000A7020000}"/>
    <cellStyle name="FIXE 3" xfId="683" xr:uid="{00000000-0005-0000-0000-0000A8020000}"/>
    <cellStyle name="Headline" xfId="684" xr:uid="{00000000-0005-0000-0000-0000A9020000}"/>
    <cellStyle name="Insatisfaisant 2" xfId="685" xr:uid="{00000000-0005-0000-0000-0000AA020000}"/>
    <cellStyle name="Insatisfaisant 2 2" xfId="686" xr:uid="{00000000-0005-0000-0000-0000AB020000}"/>
    <cellStyle name="Insatisfaisant 3" xfId="687" xr:uid="{00000000-0005-0000-0000-0000AC020000}"/>
    <cellStyle name="Insatisfaisant 3 2" xfId="688" xr:uid="{00000000-0005-0000-0000-0000AD020000}"/>
    <cellStyle name="Insatisfaisant 4" xfId="689" xr:uid="{00000000-0005-0000-0000-0000AE020000}"/>
    <cellStyle name="Insatisfaisant 4 2" xfId="690" xr:uid="{00000000-0005-0000-0000-0000AF020000}"/>
    <cellStyle name="Insatisfaisant 5" xfId="691" xr:uid="{00000000-0005-0000-0000-0000B0020000}"/>
    <cellStyle name="Insatisfaisant 5 2" xfId="692" xr:uid="{00000000-0005-0000-0000-0000B1020000}"/>
    <cellStyle name="Lien hypertexte 2" xfId="693" xr:uid="{00000000-0005-0000-0000-0000B2020000}"/>
    <cellStyle name="Lien hypertexte 2 2" xfId="694" xr:uid="{00000000-0005-0000-0000-0000B3020000}"/>
    <cellStyle name="Lien hypertexte 2 2 2" xfId="695" xr:uid="{00000000-0005-0000-0000-0000B4020000}"/>
    <cellStyle name="Lien hypertexte 2 3" xfId="696" xr:uid="{00000000-0005-0000-0000-0000B5020000}"/>
    <cellStyle name="Lien hypertexte 2 4" xfId="697" xr:uid="{00000000-0005-0000-0000-0000B6020000}"/>
    <cellStyle name="Lien hypertexte 3" xfId="698" xr:uid="{00000000-0005-0000-0000-0000B7020000}"/>
    <cellStyle name="Lien hypertexte 3 2" xfId="699" xr:uid="{00000000-0005-0000-0000-0000B8020000}"/>
    <cellStyle name="Lien hypertexte 4" xfId="700" xr:uid="{00000000-0005-0000-0000-0000B9020000}"/>
    <cellStyle name="Lien hypertexte 4 2" xfId="701" xr:uid="{00000000-0005-0000-0000-0000BA020000}"/>
    <cellStyle name="Lien hypertexte 5" xfId="702" xr:uid="{00000000-0005-0000-0000-0000BB020000}"/>
    <cellStyle name="Lien hypertexte 5 2" xfId="703" xr:uid="{00000000-0005-0000-0000-0000BC020000}"/>
    <cellStyle name="Lien hypertexte 6" xfId="704" xr:uid="{00000000-0005-0000-0000-0000BD020000}"/>
    <cellStyle name="Lien hypertexte 6 2" xfId="705" xr:uid="{00000000-0005-0000-0000-0000BE020000}"/>
    <cellStyle name="Lien hypertexte 7" xfId="706" xr:uid="{00000000-0005-0000-0000-0000BF020000}"/>
    <cellStyle name="Lien hypertexte 7 2" xfId="707" xr:uid="{00000000-0005-0000-0000-0000C0020000}"/>
    <cellStyle name="Lien hypertexte 7 3" xfId="708" xr:uid="{00000000-0005-0000-0000-0000C1020000}"/>
    <cellStyle name="Lien hypertexte 7 4" xfId="709" xr:uid="{00000000-0005-0000-0000-0000C2020000}"/>
    <cellStyle name="Lien hypertexte 8" xfId="710" xr:uid="{00000000-0005-0000-0000-0000C3020000}"/>
    <cellStyle name="Milliers" xfId="1" builtinId="3"/>
    <cellStyle name="Milliers 10" xfId="711" xr:uid="{00000000-0005-0000-0000-0000C5020000}"/>
    <cellStyle name="Milliers 11" xfId="712" xr:uid="{00000000-0005-0000-0000-0000C6020000}"/>
    <cellStyle name="Milliers 12" xfId="713" xr:uid="{00000000-0005-0000-0000-0000C7020000}"/>
    <cellStyle name="Milliers 13" xfId="1271" xr:uid="{00000000-0005-0000-0000-0000C8020000}"/>
    <cellStyle name="Milliers 2" xfId="714" xr:uid="{00000000-0005-0000-0000-0000C9020000}"/>
    <cellStyle name="Milliers 2 2" xfId="715" xr:uid="{00000000-0005-0000-0000-0000CA020000}"/>
    <cellStyle name="Milliers 2 2 2" xfId="716" xr:uid="{00000000-0005-0000-0000-0000CB020000}"/>
    <cellStyle name="Milliers 2 3" xfId="717" xr:uid="{00000000-0005-0000-0000-0000CC020000}"/>
    <cellStyle name="Milliers 3" xfId="718" xr:uid="{00000000-0005-0000-0000-0000CD020000}"/>
    <cellStyle name="Milliers 3 2" xfId="719" xr:uid="{00000000-0005-0000-0000-0000CE020000}"/>
    <cellStyle name="Milliers 3 2 2" xfId="720" xr:uid="{00000000-0005-0000-0000-0000CF020000}"/>
    <cellStyle name="Milliers 3 3" xfId="721" xr:uid="{00000000-0005-0000-0000-0000D0020000}"/>
    <cellStyle name="Milliers 4" xfId="722" xr:uid="{00000000-0005-0000-0000-0000D1020000}"/>
    <cellStyle name="Milliers 4 2" xfId="723" xr:uid="{00000000-0005-0000-0000-0000D2020000}"/>
    <cellStyle name="Milliers 4 2 2" xfId="724" xr:uid="{00000000-0005-0000-0000-0000D3020000}"/>
    <cellStyle name="Milliers 4 3" xfId="725" xr:uid="{00000000-0005-0000-0000-0000D4020000}"/>
    <cellStyle name="Milliers 42" xfId="726" xr:uid="{00000000-0005-0000-0000-0000D5020000}"/>
    <cellStyle name="Milliers 43" xfId="727" xr:uid="{00000000-0005-0000-0000-0000D6020000}"/>
    <cellStyle name="Milliers 44" xfId="728" xr:uid="{00000000-0005-0000-0000-0000D7020000}"/>
    <cellStyle name="Milliers 44 2" xfId="729" xr:uid="{00000000-0005-0000-0000-0000D8020000}"/>
    <cellStyle name="Milliers 45" xfId="730" xr:uid="{00000000-0005-0000-0000-0000D9020000}"/>
    <cellStyle name="Milliers 46" xfId="731" xr:uid="{00000000-0005-0000-0000-0000DA020000}"/>
    <cellStyle name="Milliers 5" xfId="732" xr:uid="{00000000-0005-0000-0000-0000DB020000}"/>
    <cellStyle name="Milliers 5 2" xfId="733" xr:uid="{00000000-0005-0000-0000-0000DC020000}"/>
    <cellStyle name="Milliers 5 2 2" xfId="734" xr:uid="{00000000-0005-0000-0000-0000DD020000}"/>
    <cellStyle name="Milliers 5 3" xfId="735" xr:uid="{00000000-0005-0000-0000-0000DE020000}"/>
    <cellStyle name="Milliers 6" xfId="736" xr:uid="{00000000-0005-0000-0000-0000DF020000}"/>
    <cellStyle name="Milliers 6 2" xfId="737" xr:uid="{00000000-0005-0000-0000-0000E0020000}"/>
    <cellStyle name="Milliers 6 2 2" xfId="738" xr:uid="{00000000-0005-0000-0000-0000E1020000}"/>
    <cellStyle name="Milliers 6 3" xfId="739" xr:uid="{00000000-0005-0000-0000-0000E2020000}"/>
    <cellStyle name="Milliers 7" xfId="740" xr:uid="{00000000-0005-0000-0000-0000E3020000}"/>
    <cellStyle name="Milliers 7 2" xfId="741" xr:uid="{00000000-0005-0000-0000-0000E4020000}"/>
    <cellStyle name="Milliers 7 3" xfId="742" xr:uid="{00000000-0005-0000-0000-0000E5020000}"/>
    <cellStyle name="Milliers 8" xfId="743" xr:uid="{00000000-0005-0000-0000-0000E6020000}"/>
    <cellStyle name="Milliers 9" xfId="744" xr:uid="{00000000-0005-0000-0000-0000E7020000}"/>
    <cellStyle name="Monétaire 2" xfId="745" xr:uid="{00000000-0005-0000-0000-0000E8020000}"/>
    <cellStyle name="Monétaire 2 2" xfId="746" xr:uid="{00000000-0005-0000-0000-0000E9020000}"/>
    <cellStyle name="Monétaire 2 2 2" xfId="747" xr:uid="{00000000-0005-0000-0000-0000EA020000}"/>
    <cellStyle name="Monétaire 2 3" xfId="748" xr:uid="{00000000-0005-0000-0000-0000EB020000}"/>
    <cellStyle name="Monétaire 3" xfId="749" xr:uid="{00000000-0005-0000-0000-0000EC020000}"/>
    <cellStyle name="Monétaire 3 2" xfId="750" xr:uid="{00000000-0005-0000-0000-0000ED020000}"/>
    <cellStyle name="Monétaire 3 2 2" xfId="751" xr:uid="{00000000-0005-0000-0000-0000EE020000}"/>
    <cellStyle name="Monétaire 3 3" xfId="752" xr:uid="{00000000-0005-0000-0000-0000EF020000}"/>
    <cellStyle name="Monétaire 4" xfId="753" xr:uid="{00000000-0005-0000-0000-0000F0020000}"/>
    <cellStyle name="Monétaire 4 2" xfId="754" xr:uid="{00000000-0005-0000-0000-0000F1020000}"/>
    <cellStyle name="Monétaire 4 2 2" xfId="755" xr:uid="{00000000-0005-0000-0000-0000F2020000}"/>
    <cellStyle name="Monétaire 4 3" xfId="756" xr:uid="{00000000-0005-0000-0000-0000F3020000}"/>
    <cellStyle name="Monétaire 5" xfId="757" xr:uid="{00000000-0005-0000-0000-0000F4020000}"/>
    <cellStyle name="Monétaire 5 2" xfId="758" xr:uid="{00000000-0005-0000-0000-0000F5020000}"/>
    <cellStyle name="Monétaire 5 2 2" xfId="759" xr:uid="{00000000-0005-0000-0000-0000F6020000}"/>
    <cellStyle name="Monétaire 5 3" xfId="760" xr:uid="{00000000-0005-0000-0000-0000F7020000}"/>
    <cellStyle name="Monétaire 6" xfId="761" xr:uid="{00000000-0005-0000-0000-0000F8020000}"/>
    <cellStyle name="Monétaire 6 2" xfId="762" xr:uid="{00000000-0005-0000-0000-0000F9020000}"/>
    <cellStyle name="Monétaire 6 2 2" xfId="763" xr:uid="{00000000-0005-0000-0000-0000FA020000}"/>
    <cellStyle name="Monétaire 6 3" xfId="764" xr:uid="{00000000-0005-0000-0000-0000FB020000}"/>
    <cellStyle name="Monétaire0" xfId="765" xr:uid="{00000000-0005-0000-0000-0000FC020000}"/>
    <cellStyle name="Monétaire0 10" xfId="766" xr:uid="{00000000-0005-0000-0000-0000FD020000}"/>
    <cellStyle name="Monétaire0 11" xfId="767" xr:uid="{00000000-0005-0000-0000-0000FE020000}"/>
    <cellStyle name="Monétaire0 12" xfId="768" xr:uid="{00000000-0005-0000-0000-0000FF020000}"/>
    <cellStyle name="Monétaire0 13" xfId="769" xr:uid="{00000000-0005-0000-0000-000000030000}"/>
    <cellStyle name="Monétaire0 14" xfId="770" xr:uid="{00000000-0005-0000-0000-000001030000}"/>
    <cellStyle name="Monétaire0 15" xfId="771" xr:uid="{00000000-0005-0000-0000-000002030000}"/>
    <cellStyle name="Monétaire0 16" xfId="772" xr:uid="{00000000-0005-0000-0000-000003030000}"/>
    <cellStyle name="Monétaire0 17" xfId="773" xr:uid="{00000000-0005-0000-0000-000004030000}"/>
    <cellStyle name="Monétaire0 18" xfId="774" xr:uid="{00000000-0005-0000-0000-000005030000}"/>
    <cellStyle name="Monétaire0 19" xfId="775" xr:uid="{00000000-0005-0000-0000-000006030000}"/>
    <cellStyle name="Monétaire0 2" xfId="776" xr:uid="{00000000-0005-0000-0000-000007030000}"/>
    <cellStyle name="Monétaire0 20" xfId="777" xr:uid="{00000000-0005-0000-0000-000008030000}"/>
    <cellStyle name="Monétaire0 21" xfId="778" xr:uid="{00000000-0005-0000-0000-000009030000}"/>
    <cellStyle name="Monétaire0 22" xfId="779" xr:uid="{00000000-0005-0000-0000-00000A030000}"/>
    <cellStyle name="Monétaire0 23" xfId="780" xr:uid="{00000000-0005-0000-0000-00000B030000}"/>
    <cellStyle name="Monétaire0 24" xfId="781" xr:uid="{00000000-0005-0000-0000-00000C030000}"/>
    <cellStyle name="Monétaire0 25" xfId="782" xr:uid="{00000000-0005-0000-0000-00000D030000}"/>
    <cellStyle name="Monétaire0 26" xfId="783" xr:uid="{00000000-0005-0000-0000-00000E030000}"/>
    <cellStyle name="Monétaire0 27" xfId="784" xr:uid="{00000000-0005-0000-0000-00000F030000}"/>
    <cellStyle name="Monétaire0 28" xfId="785" xr:uid="{00000000-0005-0000-0000-000010030000}"/>
    <cellStyle name="Monétaire0 29" xfId="786" xr:uid="{00000000-0005-0000-0000-000011030000}"/>
    <cellStyle name="Monétaire0 3" xfId="787" xr:uid="{00000000-0005-0000-0000-000012030000}"/>
    <cellStyle name="Monétaire0 30" xfId="788" xr:uid="{00000000-0005-0000-0000-000013030000}"/>
    <cellStyle name="Monétaire0 31" xfId="789" xr:uid="{00000000-0005-0000-0000-000014030000}"/>
    <cellStyle name="Monétaire0 32" xfId="790" xr:uid="{00000000-0005-0000-0000-000015030000}"/>
    <cellStyle name="Monétaire0 33" xfId="791" xr:uid="{00000000-0005-0000-0000-000016030000}"/>
    <cellStyle name="Monétaire0 34" xfId="792" xr:uid="{00000000-0005-0000-0000-000017030000}"/>
    <cellStyle name="Monétaire0 35" xfId="793" xr:uid="{00000000-0005-0000-0000-000018030000}"/>
    <cellStyle name="Monétaire0 36" xfId="794" xr:uid="{00000000-0005-0000-0000-000019030000}"/>
    <cellStyle name="Monétaire0 37" xfId="795" xr:uid="{00000000-0005-0000-0000-00001A030000}"/>
    <cellStyle name="Monétaire0 38" xfId="796" xr:uid="{00000000-0005-0000-0000-00001B030000}"/>
    <cellStyle name="Monétaire0 4" xfId="797" xr:uid="{00000000-0005-0000-0000-00001C030000}"/>
    <cellStyle name="Monétaire0 5" xfId="798" xr:uid="{00000000-0005-0000-0000-00001D030000}"/>
    <cellStyle name="Monétaire0 6" xfId="799" xr:uid="{00000000-0005-0000-0000-00001E030000}"/>
    <cellStyle name="Monétaire0 7" xfId="800" xr:uid="{00000000-0005-0000-0000-00001F030000}"/>
    <cellStyle name="Monétaire0 8" xfId="801" xr:uid="{00000000-0005-0000-0000-000020030000}"/>
    <cellStyle name="Monétaire0 9" xfId="802" xr:uid="{00000000-0005-0000-0000-000021030000}"/>
    <cellStyle name="Neutre 2" xfId="803" xr:uid="{00000000-0005-0000-0000-000022030000}"/>
    <cellStyle name="Neutre 2 2" xfId="804" xr:uid="{00000000-0005-0000-0000-000023030000}"/>
    <cellStyle name="Neutre 3" xfId="805" xr:uid="{00000000-0005-0000-0000-000024030000}"/>
    <cellStyle name="Neutre 3 2" xfId="806" xr:uid="{00000000-0005-0000-0000-000025030000}"/>
    <cellStyle name="Neutre 4" xfId="807" xr:uid="{00000000-0005-0000-0000-000026030000}"/>
    <cellStyle name="Neutre 4 2" xfId="808" xr:uid="{00000000-0005-0000-0000-000027030000}"/>
    <cellStyle name="Neutre 5" xfId="809" xr:uid="{00000000-0005-0000-0000-000028030000}"/>
    <cellStyle name="Normal" xfId="0" builtinId="0"/>
    <cellStyle name="Normal 10" xfId="810" xr:uid="{00000000-0005-0000-0000-00002A030000}"/>
    <cellStyle name="Normal 10 2" xfId="811" xr:uid="{00000000-0005-0000-0000-00002B030000}"/>
    <cellStyle name="Normal 10 2 2" xfId="812" xr:uid="{00000000-0005-0000-0000-00002C030000}"/>
    <cellStyle name="Normal 10 2 2 2" xfId="813" xr:uid="{00000000-0005-0000-0000-00002D030000}"/>
    <cellStyle name="Normal 10 2 3" xfId="814" xr:uid="{00000000-0005-0000-0000-00002E030000}"/>
    <cellStyle name="Normal 10 3" xfId="815" xr:uid="{00000000-0005-0000-0000-00002F030000}"/>
    <cellStyle name="Normal 10 3 2" xfId="816" xr:uid="{00000000-0005-0000-0000-000030030000}"/>
    <cellStyle name="Normal 10 4" xfId="817" xr:uid="{00000000-0005-0000-0000-000031030000}"/>
    <cellStyle name="Normal 11" xfId="818" xr:uid="{00000000-0005-0000-0000-000032030000}"/>
    <cellStyle name="Normal 11 2" xfId="819" xr:uid="{00000000-0005-0000-0000-000033030000}"/>
    <cellStyle name="Normal 11 2 2" xfId="820" xr:uid="{00000000-0005-0000-0000-000034030000}"/>
    <cellStyle name="Normal 11 2 2 2" xfId="821" xr:uid="{00000000-0005-0000-0000-000035030000}"/>
    <cellStyle name="Normal 11 2 3" xfId="822" xr:uid="{00000000-0005-0000-0000-000036030000}"/>
    <cellStyle name="Normal 11 3" xfId="823" xr:uid="{00000000-0005-0000-0000-000037030000}"/>
    <cellStyle name="Normal 11 3 2" xfId="824" xr:uid="{00000000-0005-0000-0000-000038030000}"/>
    <cellStyle name="Normal 11 4" xfId="825" xr:uid="{00000000-0005-0000-0000-000039030000}"/>
    <cellStyle name="Normal 12" xfId="826" xr:uid="{00000000-0005-0000-0000-00003A030000}"/>
    <cellStyle name="Normal 12 2" xfId="827" xr:uid="{00000000-0005-0000-0000-00003B030000}"/>
    <cellStyle name="Normal 12 2 2" xfId="828" xr:uid="{00000000-0005-0000-0000-00003C030000}"/>
    <cellStyle name="Normal 12 2 2 2" xfId="829" xr:uid="{00000000-0005-0000-0000-00003D030000}"/>
    <cellStyle name="Normal 12 2 3" xfId="830" xr:uid="{00000000-0005-0000-0000-00003E030000}"/>
    <cellStyle name="Normal 12 3" xfId="831" xr:uid="{00000000-0005-0000-0000-00003F030000}"/>
    <cellStyle name="Normal 12 3 2" xfId="832" xr:uid="{00000000-0005-0000-0000-000040030000}"/>
    <cellStyle name="Normal 12 4" xfId="833" xr:uid="{00000000-0005-0000-0000-000041030000}"/>
    <cellStyle name="Normal 13" xfId="834" xr:uid="{00000000-0005-0000-0000-000042030000}"/>
    <cellStyle name="Normal 13 2" xfId="835" xr:uid="{00000000-0005-0000-0000-000043030000}"/>
    <cellStyle name="Normal 13 2 2" xfId="836" xr:uid="{00000000-0005-0000-0000-000044030000}"/>
    <cellStyle name="Normal 13 2 2 2" xfId="837" xr:uid="{00000000-0005-0000-0000-000045030000}"/>
    <cellStyle name="Normal 13 2 3" xfId="838" xr:uid="{00000000-0005-0000-0000-000046030000}"/>
    <cellStyle name="Normal 13 3" xfId="839" xr:uid="{00000000-0005-0000-0000-000047030000}"/>
    <cellStyle name="Normal 13 3 2" xfId="840" xr:uid="{00000000-0005-0000-0000-000048030000}"/>
    <cellStyle name="Normal 13 4" xfId="841" xr:uid="{00000000-0005-0000-0000-000049030000}"/>
    <cellStyle name="Normal 14" xfId="842" xr:uid="{00000000-0005-0000-0000-00004A030000}"/>
    <cellStyle name="Normal 14 2" xfId="843" xr:uid="{00000000-0005-0000-0000-00004B030000}"/>
    <cellStyle name="Normal 14 2 2" xfId="844" xr:uid="{00000000-0005-0000-0000-00004C030000}"/>
    <cellStyle name="Normal 14 3" xfId="845" xr:uid="{00000000-0005-0000-0000-00004D030000}"/>
    <cellStyle name="Normal 15" xfId="846" xr:uid="{00000000-0005-0000-0000-00004E030000}"/>
    <cellStyle name="Normal 15 2" xfId="847" xr:uid="{00000000-0005-0000-0000-00004F030000}"/>
    <cellStyle name="Normal 15 2 2" xfId="848" xr:uid="{00000000-0005-0000-0000-000050030000}"/>
    <cellStyle name="Normal 15 3" xfId="849" xr:uid="{00000000-0005-0000-0000-000051030000}"/>
    <cellStyle name="Normal 16" xfId="850" xr:uid="{00000000-0005-0000-0000-000052030000}"/>
    <cellStyle name="Normal 16 2" xfId="851" xr:uid="{00000000-0005-0000-0000-000053030000}"/>
    <cellStyle name="Normal 16 2 2" xfId="852" xr:uid="{00000000-0005-0000-0000-000054030000}"/>
    <cellStyle name="Normal 16 3" xfId="853" xr:uid="{00000000-0005-0000-0000-000055030000}"/>
    <cellStyle name="Normal 17" xfId="854" xr:uid="{00000000-0005-0000-0000-000056030000}"/>
    <cellStyle name="Normal 17 2" xfId="855" xr:uid="{00000000-0005-0000-0000-000057030000}"/>
    <cellStyle name="Normal 17 2 2" xfId="856" xr:uid="{00000000-0005-0000-0000-000058030000}"/>
    <cellStyle name="Normal 17 3" xfId="857" xr:uid="{00000000-0005-0000-0000-000059030000}"/>
    <cellStyle name="Normal 18" xfId="858" xr:uid="{00000000-0005-0000-0000-00005A030000}"/>
    <cellStyle name="Normal 18 2" xfId="859" xr:uid="{00000000-0005-0000-0000-00005B030000}"/>
    <cellStyle name="Normal 18 2 2" xfId="860" xr:uid="{00000000-0005-0000-0000-00005C030000}"/>
    <cellStyle name="Normal 18 3" xfId="861" xr:uid="{00000000-0005-0000-0000-00005D030000}"/>
    <cellStyle name="Normal 19" xfId="862" xr:uid="{00000000-0005-0000-0000-00005E030000}"/>
    <cellStyle name="Normal 19 2" xfId="863" xr:uid="{00000000-0005-0000-0000-00005F030000}"/>
    <cellStyle name="Normal 19 2 2" xfId="864" xr:uid="{00000000-0005-0000-0000-000060030000}"/>
    <cellStyle name="Normal 19 3" xfId="865" xr:uid="{00000000-0005-0000-0000-000061030000}"/>
    <cellStyle name="Normal 2" xfId="866" xr:uid="{00000000-0005-0000-0000-000062030000}"/>
    <cellStyle name="Normal 2 10" xfId="867" xr:uid="{00000000-0005-0000-0000-000063030000}"/>
    <cellStyle name="Normal 2 10 2" xfId="868" xr:uid="{00000000-0005-0000-0000-000064030000}"/>
    <cellStyle name="Normal 2 11" xfId="869" xr:uid="{00000000-0005-0000-0000-000065030000}"/>
    <cellStyle name="Normal 2 11 2" xfId="870" xr:uid="{00000000-0005-0000-0000-000066030000}"/>
    <cellStyle name="Normal 2 12" xfId="871" xr:uid="{00000000-0005-0000-0000-000067030000}"/>
    <cellStyle name="Normal 2 12 2" xfId="872" xr:uid="{00000000-0005-0000-0000-000068030000}"/>
    <cellStyle name="Normal 2 13" xfId="873" xr:uid="{00000000-0005-0000-0000-000069030000}"/>
    <cellStyle name="Normal 2 13 2" xfId="874" xr:uid="{00000000-0005-0000-0000-00006A030000}"/>
    <cellStyle name="Normal 2 14" xfId="875" xr:uid="{00000000-0005-0000-0000-00006B030000}"/>
    <cellStyle name="Normal 2 2" xfId="876" xr:uid="{00000000-0005-0000-0000-00006C030000}"/>
    <cellStyle name="Normal 2 2 2" xfId="877" xr:uid="{00000000-0005-0000-0000-00006D030000}"/>
    <cellStyle name="Normal 2 2 2 2" xfId="878" xr:uid="{00000000-0005-0000-0000-00006E030000}"/>
    <cellStyle name="Normal 2 2 2 2 2" xfId="879" xr:uid="{00000000-0005-0000-0000-00006F030000}"/>
    <cellStyle name="Normal 2 2 2 3" xfId="880" xr:uid="{00000000-0005-0000-0000-000070030000}"/>
    <cellStyle name="Normal 2 2 3" xfId="881" xr:uid="{00000000-0005-0000-0000-000071030000}"/>
    <cellStyle name="Normal 2 2 3 2" xfId="882" xr:uid="{00000000-0005-0000-0000-000072030000}"/>
    <cellStyle name="Normal 2 2 4" xfId="883" xr:uid="{00000000-0005-0000-0000-000073030000}"/>
    <cellStyle name="Normal 2 3" xfId="884" xr:uid="{00000000-0005-0000-0000-000074030000}"/>
    <cellStyle name="Normal 2 3 2" xfId="885" xr:uid="{00000000-0005-0000-0000-000075030000}"/>
    <cellStyle name="Normal 2 3 2 2" xfId="886" xr:uid="{00000000-0005-0000-0000-000076030000}"/>
    <cellStyle name="Normal 2 3 2 2 2" xfId="887" xr:uid="{00000000-0005-0000-0000-000077030000}"/>
    <cellStyle name="Normal 2 3 2 3" xfId="888" xr:uid="{00000000-0005-0000-0000-000078030000}"/>
    <cellStyle name="Normal 2 3 3" xfId="889" xr:uid="{00000000-0005-0000-0000-000079030000}"/>
    <cellStyle name="Normal 2 3 3 2" xfId="890" xr:uid="{00000000-0005-0000-0000-00007A030000}"/>
    <cellStyle name="Normal 2 3 4" xfId="891" xr:uid="{00000000-0005-0000-0000-00007B030000}"/>
    <cellStyle name="Normal 2 4" xfId="892" xr:uid="{00000000-0005-0000-0000-00007C030000}"/>
    <cellStyle name="Normal 2 4 2" xfId="893" xr:uid="{00000000-0005-0000-0000-00007D030000}"/>
    <cellStyle name="Normal 2 4 2 2" xfId="894" xr:uid="{00000000-0005-0000-0000-00007E030000}"/>
    <cellStyle name="Normal 2 4 3" xfId="895" xr:uid="{00000000-0005-0000-0000-00007F030000}"/>
    <cellStyle name="Normal 2 5" xfId="896" xr:uid="{00000000-0005-0000-0000-000080030000}"/>
    <cellStyle name="Normal 2 5 2" xfId="897" xr:uid="{00000000-0005-0000-0000-000081030000}"/>
    <cellStyle name="Normal 2 5 2 2" xfId="898" xr:uid="{00000000-0005-0000-0000-000082030000}"/>
    <cellStyle name="Normal 2 5 3" xfId="899" xr:uid="{00000000-0005-0000-0000-000083030000}"/>
    <cellStyle name="Normal 2 6" xfId="900" xr:uid="{00000000-0005-0000-0000-000084030000}"/>
    <cellStyle name="Normal 2 6 2" xfId="901" xr:uid="{00000000-0005-0000-0000-000085030000}"/>
    <cellStyle name="Normal 2 6 2 2" xfId="902" xr:uid="{00000000-0005-0000-0000-000086030000}"/>
    <cellStyle name="Normal 2 6 3" xfId="903" xr:uid="{00000000-0005-0000-0000-000087030000}"/>
    <cellStyle name="Normal 2 7" xfId="904" xr:uid="{00000000-0005-0000-0000-000088030000}"/>
    <cellStyle name="Normal 2 7 2" xfId="905" xr:uid="{00000000-0005-0000-0000-000089030000}"/>
    <cellStyle name="Normal 2 7 2 2" xfId="906" xr:uid="{00000000-0005-0000-0000-00008A030000}"/>
    <cellStyle name="Normal 2 7 3" xfId="907" xr:uid="{00000000-0005-0000-0000-00008B030000}"/>
    <cellStyle name="Normal 2 8" xfId="908" xr:uid="{00000000-0005-0000-0000-00008C030000}"/>
    <cellStyle name="Normal 2 8 2" xfId="909" xr:uid="{00000000-0005-0000-0000-00008D030000}"/>
    <cellStyle name="Normal 2 9" xfId="910" xr:uid="{00000000-0005-0000-0000-00008E030000}"/>
    <cellStyle name="Normal 2 9 2" xfId="911" xr:uid="{00000000-0005-0000-0000-00008F030000}"/>
    <cellStyle name="Normal 20" xfId="912" xr:uid="{00000000-0005-0000-0000-000090030000}"/>
    <cellStyle name="Normal 20 2" xfId="913" xr:uid="{00000000-0005-0000-0000-000091030000}"/>
    <cellStyle name="Normal 20 2 2" xfId="914" xr:uid="{00000000-0005-0000-0000-000092030000}"/>
    <cellStyle name="Normal 20 3" xfId="915" xr:uid="{00000000-0005-0000-0000-000093030000}"/>
    <cellStyle name="Normal 21" xfId="916" xr:uid="{00000000-0005-0000-0000-000094030000}"/>
    <cellStyle name="Normal 21 2" xfId="917" xr:uid="{00000000-0005-0000-0000-000095030000}"/>
    <cellStyle name="Normal 21 2 2" xfId="918" xr:uid="{00000000-0005-0000-0000-000096030000}"/>
    <cellStyle name="Normal 21 3" xfId="919" xr:uid="{00000000-0005-0000-0000-000097030000}"/>
    <cellStyle name="Normal 22" xfId="920" xr:uid="{00000000-0005-0000-0000-000098030000}"/>
    <cellStyle name="Normal 22 2" xfId="921" xr:uid="{00000000-0005-0000-0000-000099030000}"/>
    <cellStyle name="Normal 22 2 2" xfId="922" xr:uid="{00000000-0005-0000-0000-00009A030000}"/>
    <cellStyle name="Normal 22 3" xfId="923" xr:uid="{00000000-0005-0000-0000-00009B030000}"/>
    <cellStyle name="Normal 23" xfId="924" xr:uid="{00000000-0005-0000-0000-00009C030000}"/>
    <cellStyle name="Normal 23 2" xfId="925" xr:uid="{00000000-0005-0000-0000-00009D030000}"/>
    <cellStyle name="Normal 23 2 2" xfId="926" xr:uid="{00000000-0005-0000-0000-00009E030000}"/>
    <cellStyle name="Normal 23 3" xfId="927" xr:uid="{00000000-0005-0000-0000-00009F030000}"/>
    <cellStyle name="Normal 24" xfId="928" xr:uid="{00000000-0005-0000-0000-0000A0030000}"/>
    <cellStyle name="Normal 24 2" xfId="929" xr:uid="{00000000-0005-0000-0000-0000A1030000}"/>
    <cellStyle name="Normal 24 2 2" xfId="930" xr:uid="{00000000-0005-0000-0000-0000A2030000}"/>
    <cellStyle name="Normal 24 3" xfId="931" xr:uid="{00000000-0005-0000-0000-0000A3030000}"/>
    <cellStyle name="Normal 25" xfId="932" xr:uid="{00000000-0005-0000-0000-0000A4030000}"/>
    <cellStyle name="Normal 25 2" xfId="933" xr:uid="{00000000-0005-0000-0000-0000A5030000}"/>
    <cellStyle name="Normal 25 2 2" xfId="934" xr:uid="{00000000-0005-0000-0000-0000A6030000}"/>
    <cellStyle name="Normal 25 3" xfId="935" xr:uid="{00000000-0005-0000-0000-0000A7030000}"/>
    <cellStyle name="Normal 26" xfId="936" xr:uid="{00000000-0005-0000-0000-0000A8030000}"/>
    <cellStyle name="Normal 26 2" xfId="937" xr:uid="{00000000-0005-0000-0000-0000A9030000}"/>
    <cellStyle name="Normal 26 2 2" xfId="938" xr:uid="{00000000-0005-0000-0000-0000AA030000}"/>
    <cellStyle name="Normal 26 3" xfId="939" xr:uid="{00000000-0005-0000-0000-0000AB030000}"/>
    <cellStyle name="Normal 27" xfId="940" xr:uid="{00000000-0005-0000-0000-0000AC030000}"/>
    <cellStyle name="Normal 27 2" xfId="941" xr:uid="{00000000-0005-0000-0000-0000AD030000}"/>
    <cellStyle name="Normal 27 2 2" xfId="942" xr:uid="{00000000-0005-0000-0000-0000AE030000}"/>
    <cellStyle name="Normal 27 3" xfId="943" xr:uid="{00000000-0005-0000-0000-0000AF030000}"/>
    <cellStyle name="Normal 28" xfId="944" xr:uid="{00000000-0005-0000-0000-0000B0030000}"/>
    <cellStyle name="Normal 28 2" xfId="945" xr:uid="{00000000-0005-0000-0000-0000B1030000}"/>
    <cellStyle name="Normal 28 2 2" xfId="946" xr:uid="{00000000-0005-0000-0000-0000B2030000}"/>
    <cellStyle name="Normal 28 3" xfId="947" xr:uid="{00000000-0005-0000-0000-0000B3030000}"/>
    <cellStyle name="Normal 29" xfId="948" xr:uid="{00000000-0005-0000-0000-0000B4030000}"/>
    <cellStyle name="Normal 29 2" xfId="949" xr:uid="{00000000-0005-0000-0000-0000B5030000}"/>
    <cellStyle name="Normal 3" xfId="950" xr:uid="{00000000-0005-0000-0000-0000B6030000}"/>
    <cellStyle name="Normal 3 2" xfId="951" xr:uid="{00000000-0005-0000-0000-0000B7030000}"/>
    <cellStyle name="Normal 3 2 2" xfId="952" xr:uid="{00000000-0005-0000-0000-0000B8030000}"/>
    <cellStyle name="Normal 3 2 2 2" xfId="953" xr:uid="{00000000-0005-0000-0000-0000B9030000}"/>
    <cellStyle name="Normal 3 2 2 2 2" xfId="954" xr:uid="{00000000-0005-0000-0000-0000BA030000}"/>
    <cellStyle name="Normal 3 2 2 3" xfId="955" xr:uid="{00000000-0005-0000-0000-0000BB030000}"/>
    <cellStyle name="Normal 3 2 3" xfId="956" xr:uid="{00000000-0005-0000-0000-0000BC030000}"/>
    <cellStyle name="Normal 3 2 3 2" xfId="957" xr:uid="{00000000-0005-0000-0000-0000BD030000}"/>
    <cellStyle name="Normal 3 2 4" xfId="958" xr:uid="{00000000-0005-0000-0000-0000BE030000}"/>
    <cellStyle name="Normal 3 3" xfId="959" xr:uid="{00000000-0005-0000-0000-0000BF030000}"/>
    <cellStyle name="Normal 3 3 2" xfId="960" xr:uid="{00000000-0005-0000-0000-0000C0030000}"/>
    <cellStyle name="Normal 3 3 2 2" xfId="961" xr:uid="{00000000-0005-0000-0000-0000C1030000}"/>
    <cellStyle name="Normal 3 3 2 2 2" xfId="962" xr:uid="{00000000-0005-0000-0000-0000C2030000}"/>
    <cellStyle name="Normal 3 3 2 3" xfId="963" xr:uid="{00000000-0005-0000-0000-0000C3030000}"/>
    <cellStyle name="Normal 3 3 3" xfId="964" xr:uid="{00000000-0005-0000-0000-0000C4030000}"/>
    <cellStyle name="Normal 3 3 3 2" xfId="965" xr:uid="{00000000-0005-0000-0000-0000C5030000}"/>
    <cellStyle name="Normal 3 3 4" xfId="966" xr:uid="{00000000-0005-0000-0000-0000C6030000}"/>
    <cellStyle name="Normal 3 4" xfId="967" xr:uid="{00000000-0005-0000-0000-0000C7030000}"/>
    <cellStyle name="Normal 3 4 2" xfId="968" xr:uid="{00000000-0005-0000-0000-0000C8030000}"/>
    <cellStyle name="Normal 3 4 2 2" xfId="969" xr:uid="{00000000-0005-0000-0000-0000C9030000}"/>
    <cellStyle name="Normal 3 4 3" xfId="970" xr:uid="{00000000-0005-0000-0000-0000CA030000}"/>
    <cellStyle name="Normal 3 5" xfId="971" xr:uid="{00000000-0005-0000-0000-0000CB030000}"/>
    <cellStyle name="Normal 3 5 2" xfId="972" xr:uid="{00000000-0005-0000-0000-0000CC030000}"/>
    <cellStyle name="Normal 3 5 2 2" xfId="973" xr:uid="{00000000-0005-0000-0000-0000CD030000}"/>
    <cellStyle name="Normal 3 5 3" xfId="974" xr:uid="{00000000-0005-0000-0000-0000CE030000}"/>
    <cellStyle name="Normal 3 6" xfId="975" xr:uid="{00000000-0005-0000-0000-0000CF030000}"/>
    <cellStyle name="Normal 3 6 2" xfId="976" xr:uid="{00000000-0005-0000-0000-0000D0030000}"/>
    <cellStyle name="Normal 3 6 2 2" xfId="977" xr:uid="{00000000-0005-0000-0000-0000D1030000}"/>
    <cellStyle name="Normal 3 6 3" xfId="978" xr:uid="{00000000-0005-0000-0000-0000D2030000}"/>
    <cellStyle name="Normal 3 7" xfId="979" xr:uid="{00000000-0005-0000-0000-0000D3030000}"/>
    <cellStyle name="Normal 3 7 2" xfId="980" xr:uid="{00000000-0005-0000-0000-0000D4030000}"/>
    <cellStyle name="Normal 3 7 2 2" xfId="981" xr:uid="{00000000-0005-0000-0000-0000D5030000}"/>
    <cellStyle name="Normal 3 7 3" xfId="982" xr:uid="{00000000-0005-0000-0000-0000D6030000}"/>
    <cellStyle name="Normal 3 8" xfId="983" xr:uid="{00000000-0005-0000-0000-0000D7030000}"/>
    <cellStyle name="Normal 3 8 2" xfId="984" xr:uid="{00000000-0005-0000-0000-0000D8030000}"/>
    <cellStyle name="Normal 3 9" xfId="985" xr:uid="{00000000-0005-0000-0000-0000D9030000}"/>
    <cellStyle name="Normal 3 9 2" xfId="986" xr:uid="{00000000-0005-0000-0000-0000DA030000}"/>
    <cellStyle name="Normal 30" xfId="987" xr:uid="{00000000-0005-0000-0000-0000DB030000}"/>
    <cellStyle name="Normal 30 2" xfId="988" xr:uid="{00000000-0005-0000-0000-0000DC030000}"/>
    <cellStyle name="Normal 30 3" xfId="989" xr:uid="{00000000-0005-0000-0000-0000DD030000}"/>
    <cellStyle name="Normal 31" xfId="990" xr:uid="{00000000-0005-0000-0000-0000DE030000}"/>
    <cellStyle name="Normal 31 2" xfId="991" xr:uid="{00000000-0005-0000-0000-0000DF030000}"/>
    <cellStyle name="Normal 32" xfId="992" xr:uid="{00000000-0005-0000-0000-0000E0030000}"/>
    <cellStyle name="Normal 32 2" xfId="993" xr:uid="{00000000-0005-0000-0000-0000E1030000}"/>
    <cellStyle name="Normal 33" xfId="994" xr:uid="{00000000-0005-0000-0000-0000E2030000}"/>
    <cellStyle name="Normal 34" xfId="995" xr:uid="{00000000-0005-0000-0000-0000E3030000}"/>
    <cellStyle name="Normal 34 2" xfId="996" xr:uid="{00000000-0005-0000-0000-0000E4030000}"/>
    <cellStyle name="Normal 35" xfId="997" xr:uid="{00000000-0005-0000-0000-0000E5030000}"/>
    <cellStyle name="Normal 36" xfId="998" xr:uid="{00000000-0005-0000-0000-0000E6030000}"/>
    <cellStyle name="Normal 37" xfId="999" xr:uid="{00000000-0005-0000-0000-0000E7030000}"/>
    <cellStyle name="Normal 38" xfId="1000" xr:uid="{00000000-0005-0000-0000-0000E8030000}"/>
    <cellStyle name="Normal 39" xfId="1001" xr:uid="{00000000-0005-0000-0000-0000E9030000}"/>
    <cellStyle name="Normal 4" xfId="1002" xr:uid="{00000000-0005-0000-0000-0000EA030000}"/>
    <cellStyle name="Normal 4 2" xfId="1003" xr:uid="{00000000-0005-0000-0000-0000EB030000}"/>
    <cellStyle name="Normal 4 2 2" xfId="1004" xr:uid="{00000000-0005-0000-0000-0000EC030000}"/>
    <cellStyle name="Normal 4 3" xfId="1005" xr:uid="{00000000-0005-0000-0000-0000ED030000}"/>
    <cellStyle name="Normal 40" xfId="1006" xr:uid="{00000000-0005-0000-0000-0000EE030000}"/>
    <cellStyle name="Normal 47 2" xfId="1007" xr:uid="{00000000-0005-0000-0000-0000EF030000}"/>
    <cellStyle name="Normal 5" xfId="1008" xr:uid="{00000000-0005-0000-0000-0000F0030000}"/>
    <cellStyle name="Normal 5 2" xfId="1009" xr:uid="{00000000-0005-0000-0000-0000F1030000}"/>
    <cellStyle name="Normal 5 2 2" xfId="1010" xr:uid="{00000000-0005-0000-0000-0000F2030000}"/>
    <cellStyle name="Normal 5 2 2 2" xfId="1011" xr:uid="{00000000-0005-0000-0000-0000F3030000}"/>
    <cellStyle name="Normal 5 2 2 2 2" xfId="1012" xr:uid="{00000000-0005-0000-0000-0000F4030000}"/>
    <cellStyle name="Normal 5 2 2 3" xfId="1013" xr:uid="{00000000-0005-0000-0000-0000F5030000}"/>
    <cellStyle name="Normal 5 2 3" xfId="1014" xr:uid="{00000000-0005-0000-0000-0000F6030000}"/>
    <cellStyle name="Normal 5 2 3 2" xfId="1015" xr:uid="{00000000-0005-0000-0000-0000F7030000}"/>
    <cellStyle name="Normal 5 2 4" xfId="1016" xr:uid="{00000000-0005-0000-0000-0000F8030000}"/>
    <cellStyle name="Normal 5 3" xfId="1017" xr:uid="{00000000-0005-0000-0000-0000F9030000}"/>
    <cellStyle name="Normal 5 3 2" xfId="1018" xr:uid="{00000000-0005-0000-0000-0000FA030000}"/>
    <cellStyle name="Normal 5 3 2 2" xfId="1019" xr:uid="{00000000-0005-0000-0000-0000FB030000}"/>
    <cellStyle name="Normal 5 3 2 2 2" xfId="1020" xr:uid="{00000000-0005-0000-0000-0000FC030000}"/>
    <cellStyle name="Normal 5 3 2 3" xfId="1021" xr:uid="{00000000-0005-0000-0000-0000FD030000}"/>
    <cellStyle name="Normal 5 3 3" xfId="1022" xr:uid="{00000000-0005-0000-0000-0000FE030000}"/>
    <cellStyle name="Normal 5 3 3 2" xfId="1023" xr:uid="{00000000-0005-0000-0000-0000FF030000}"/>
    <cellStyle name="Normal 5 3 4" xfId="1024" xr:uid="{00000000-0005-0000-0000-000000040000}"/>
    <cellStyle name="Normal 5 4" xfId="1025" xr:uid="{00000000-0005-0000-0000-000001040000}"/>
    <cellStyle name="Normal 5 4 2" xfId="1026" xr:uid="{00000000-0005-0000-0000-000002040000}"/>
    <cellStyle name="Normal 5 4 2 2" xfId="1027" xr:uid="{00000000-0005-0000-0000-000003040000}"/>
    <cellStyle name="Normal 5 4 3" xfId="1028" xr:uid="{00000000-0005-0000-0000-000004040000}"/>
    <cellStyle name="Normal 5 5" xfId="1029" xr:uid="{00000000-0005-0000-0000-000005040000}"/>
    <cellStyle name="Normal 5 5 2" xfId="1030" xr:uid="{00000000-0005-0000-0000-000006040000}"/>
    <cellStyle name="Normal 5 5 2 2" xfId="1031" xr:uid="{00000000-0005-0000-0000-000007040000}"/>
    <cellStyle name="Normal 5 5 3" xfId="1032" xr:uid="{00000000-0005-0000-0000-000008040000}"/>
    <cellStyle name="Normal 5 6" xfId="1033" xr:uid="{00000000-0005-0000-0000-000009040000}"/>
    <cellStyle name="Normal 5 6 2" xfId="1034" xr:uid="{00000000-0005-0000-0000-00000A040000}"/>
    <cellStyle name="Normal 5 6 2 2" xfId="1035" xr:uid="{00000000-0005-0000-0000-00000B040000}"/>
    <cellStyle name="Normal 5 6 3" xfId="1036" xr:uid="{00000000-0005-0000-0000-00000C040000}"/>
    <cellStyle name="Normal 5 7" xfId="1037" xr:uid="{00000000-0005-0000-0000-00000D040000}"/>
    <cellStyle name="Normal 5 7 2" xfId="1038" xr:uid="{00000000-0005-0000-0000-00000E040000}"/>
    <cellStyle name="Normal 5 7 2 2" xfId="1039" xr:uid="{00000000-0005-0000-0000-00000F040000}"/>
    <cellStyle name="Normal 5 7 3" xfId="1040" xr:uid="{00000000-0005-0000-0000-000010040000}"/>
    <cellStyle name="Normal 5 8" xfId="1041" xr:uid="{00000000-0005-0000-0000-000011040000}"/>
    <cellStyle name="Normal 5 8 2" xfId="1042" xr:uid="{00000000-0005-0000-0000-000012040000}"/>
    <cellStyle name="Normal 5 9" xfId="1043" xr:uid="{00000000-0005-0000-0000-000013040000}"/>
    <cellStyle name="Normal 51 2" xfId="1044" xr:uid="{00000000-0005-0000-0000-000014040000}"/>
    <cellStyle name="Normal 53 2" xfId="1045" xr:uid="{00000000-0005-0000-0000-000015040000}"/>
    <cellStyle name="Normal 55 2" xfId="1046" xr:uid="{00000000-0005-0000-0000-000016040000}"/>
    <cellStyle name="Normal 57 2" xfId="1047" xr:uid="{00000000-0005-0000-0000-000017040000}"/>
    <cellStyle name="Normal 6" xfId="1048" xr:uid="{00000000-0005-0000-0000-000018040000}"/>
    <cellStyle name="Normal 6 2" xfId="1049" xr:uid="{00000000-0005-0000-0000-000019040000}"/>
    <cellStyle name="Normal 6 2 2" xfId="1050" xr:uid="{00000000-0005-0000-0000-00001A040000}"/>
    <cellStyle name="Normal 6 2 2 2" xfId="1051" xr:uid="{00000000-0005-0000-0000-00001B040000}"/>
    <cellStyle name="Normal 6 2 3" xfId="1052" xr:uid="{00000000-0005-0000-0000-00001C040000}"/>
    <cellStyle name="Normal 6 3" xfId="1053" xr:uid="{00000000-0005-0000-0000-00001D040000}"/>
    <cellStyle name="Normal 6 3 2" xfId="1054" xr:uid="{00000000-0005-0000-0000-00001E040000}"/>
    <cellStyle name="Normal 6 4" xfId="1055" xr:uid="{00000000-0005-0000-0000-00001F040000}"/>
    <cellStyle name="Normal 61 2" xfId="1056" xr:uid="{00000000-0005-0000-0000-000020040000}"/>
    <cellStyle name="Normal 64 2" xfId="1057" xr:uid="{00000000-0005-0000-0000-000021040000}"/>
    <cellStyle name="Normal 68 2" xfId="1058" xr:uid="{00000000-0005-0000-0000-000022040000}"/>
    <cellStyle name="Normal 7" xfId="1059" xr:uid="{00000000-0005-0000-0000-000023040000}"/>
    <cellStyle name="Normal 7 2" xfId="1060" xr:uid="{00000000-0005-0000-0000-000024040000}"/>
    <cellStyle name="Normal 7 2 2" xfId="1061" xr:uid="{00000000-0005-0000-0000-000025040000}"/>
    <cellStyle name="Normal 7 2 2 2" xfId="1062" xr:uid="{00000000-0005-0000-0000-000026040000}"/>
    <cellStyle name="Normal 7 2 3" xfId="1063" xr:uid="{00000000-0005-0000-0000-000027040000}"/>
    <cellStyle name="Normal 7 3" xfId="1064" xr:uid="{00000000-0005-0000-0000-000028040000}"/>
    <cellStyle name="Normal 7 3 2" xfId="1065" xr:uid="{00000000-0005-0000-0000-000029040000}"/>
    <cellStyle name="Normal 7 4" xfId="1066" xr:uid="{00000000-0005-0000-0000-00002A040000}"/>
    <cellStyle name="Normal 70 2" xfId="1067" xr:uid="{00000000-0005-0000-0000-00002B040000}"/>
    <cellStyle name="Normal 71 2" xfId="1068" xr:uid="{00000000-0005-0000-0000-00002C040000}"/>
    <cellStyle name="Normal 8" xfId="1069" xr:uid="{00000000-0005-0000-0000-00002D040000}"/>
    <cellStyle name="Normal 8 2" xfId="1070" xr:uid="{00000000-0005-0000-0000-00002E040000}"/>
    <cellStyle name="Normal 8 2 2" xfId="1071" xr:uid="{00000000-0005-0000-0000-00002F040000}"/>
    <cellStyle name="Normal 8 2 2 2" xfId="1072" xr:uid="{00000000-0005-0000-0000-000030040000}"/>
    <cellStyle name="Normal 8 2 3" xfId="1073" xr:uid="{00000000-0005-0000-0000-000031040000}"/>
    <cellStyle name="Normal 8 3" xfId="1074" xr:uid="{00000000-0005-0000-0000-000032040000}"/>
    <cellStyle name="Normal 8 3 2" xfId="1075" xr:uid="{00000000-0005-0000-0000-000033040000}"/>
    <cellStyle name="Normal 8 4" xfId="1076" xr:uid="{00000000-0005-0000-0000-000034040000}"/>
    <cellStyle name="Normal 9" xfId="1077" xr:uid="{00000000-0005-0000-0000-000035040000}"/>
    <cellStyle name="Normal 9 2" xfId="1078" xr:uid="{00000000-0005-0000-0000-000036040000}"/>
    <cellStyle name="Normal 9 2 2" xfId="1079" xr:uid="{00000000-0005-0000-0000-000037040000}"/>
    <cellStyle name="Normal 9 3" xfId="1080" xr:uid="{00000000-0005-0000-0000-000038040000}"/>
    <cellStyle name="Normal 9 4" xfId="1272" xr:uid="{00000000-0005-0000-0000-000039040000}"/>
    <cellStyle name="Normal 90" xfId="1081" xr:uid="{00000000-0005-0000-0000-00003A040000}"/>
    <cellStyle name="Normal 91" xfId="1082" xr:uid="{00000000-0005-0000-0000-00003B040000}"/>
    <cellStyle name="Normal GHG Numbers (0.00)" xfId="1083" xr:uid="{00000000-0005-0000-0000-00003C040000}"/>
    <cellStyle name="Normal GHG Textfiels Bold" xfId="1084" xr:uid="{00000000-0005-0000-0000-00003D040000}"/>
    <cellStyle name="Normal GHG whole table" xfId="1085" xr:uid="{00000000-0005-0000-0000-00003E040000}"/>
    <cellStyle name="Normal GHG-Shade" xfId="1086" xr:uid="{00000000-0005-0000-0000-00003F040000}"/>
    <cellStyle name="Normal_FE" xfId="1273" xr:uid="{00000000-0005-0000-0000-000040040000}"/>
    <cellStyle name="Normal_FE 2" xfId="1274" xr:uid="{00000000-0005-0000-0000-000041040000}"/>
    <cellStyle name="Normal_FE_1" xfId="1276" xr:uid="{00000000-0005-0000-0000-000042040000}"/>
    <cellStyle name="Normal_météo" xfId="1275" xr:uid="{00000000-0005-0000-0000-000043040000}"/>
    <cellStyle name="Pattern" xfId="1087" xr:uid="{00000000-0005-0000-0000-000044040000}"/>
    <cellStyle name="Pourcentage" xfId="2" builtinId="5"/>
    <cellStyle name="Pourcentage 12" xfId="1088" xr:uid="{00000000-0005-0000-0000-000046040000}"/>
    <cellStyle name="Pourcentage 2" xfId="1089" xr:uid="{00000000-0005-0000-0000-000047040000}"/>
    <cellStyle name="Pourcentage 2 2" xfId="1090" xr:uid="{00000000-0005-0000-0000-000048040000}"/>
    <cellStyle name="Pourcentage 2 2 2" xfId="1091" xr:uid="{00000000-0005-0000-0000-000049040000}"/>
    <cellStyle name="Pourcentage 2 3" xfId="1092" xr:uid="{00000000-0005-0000-0000-00004A040000}"/>
    <cellStyle name="Pourcentage 3" xfId="1093" xr:uid="{00000000-0005-0000-0000-00004B040000}"/>
    <cellStyle name="Pourcentage 3 2" xfId="1094" xr:uid="{00000000-0005-0000-0000-00004C040000}"/>
    <cellStyle name="Pourcentage 3 2 2" xfId="1095" xr:uid="{00000000-0005-0000-0000-00004D040000}"/>
    <cellStyle name="Pourcentage 3 3" xfId="1096" xr:uid="{00000000-0005-0000-0000-00004E040000}"/>
    <cellStyle name="Pourcentage 4" xfId="1097" xr:uid="{00000000-0005-0000-0000-00004F040000}"/>
    <cellStyle name="Pourcentage 4 2" xfId="1098" xr:uid="{00000000-0005-0000-0000-000050040000}"/>
    <cellStyle name="Pourcentage 4 2 2" xfId="1099" xr:uid="{00000000-0005-0000-0000-000051040000}"/>
    <cellStyle name="Pourcentage 4 3" xfId="1100" xr:uid="{00000000-0005-0000-0000-000052040000}"/>
    <cellStyle name="Pourcentage 5" xfId="1101" xr:uid="{00000000-0005-0000-0000-000053040000}"/>
    <cellStyle name="Pourcentage 5 2" xfId="1102" xr:uid="{00000000-0005-0000-0000-000054040000}"/>
    <cellStyle name="Pourcentage 5 2 2" xfId="1103" xr:uid="{00000000-0005-0000-0000-000055040000}"/>
    <cellStyle name="Pourcentage 5 3" xfId="1104" xr:uid="{00000000-0005-0000-0000-000056040000}"/>
    <cellStyle name="Pourcentage 6" xfId="1105" xr:uid="{00000000-0005-0000-0000-000057040000}"/>
    <cellStyle name="Pourcentage 6 2" xfId="1106" xr:uid="{00000000-0005-0000-0000-000058040000}"/>
    <cellStyle name="Pourcentage 6 2 2" xfId="1107" xr:uid="{00000000-0005-0000-0000-000059040000}"/>
    <cellStyle name="Pourcentage 6 3" xfId="1108" xr:uid="{00000000-0005-0000-0000-00005A040000}"/>
    <cellStyle name="Pourcentage 7" xfId="1109" xr:uid="{00000000-0005-0000-0000-00005B040000}"/>
    <cellStyle name="Pourcentage 8" xfId="1110" xr:uid="{00000000-0005-0000-0000-00005C040000}"/>
    <cellStyle name="Pourcentage 8 2" xfId="1111" xr:uid="{00000000-0005-0000-0000-00005D040000}"/>
    <cellStyle name="Satisfaisant 2" xfId="1112" xr:uid="{00000000-0005-0000-0000-00005E040000}"/>
    <cellStyle name="Satisfaisant 2 2" xfId="1113" xr:uid="{00000000-0005-0000-0000-00005F040000}"/>
    <cellStyle name="Satisfaisant 3" xfId="1114" xr:uid="{00000000-0005-0000-0000-000060040000}"/>
    <cellStyle name="Satisfaisant 3 2" xfId="1115" xr:uid="{00000000-0005-0000-0000-000061040000}"/>
    <cellStyle name="Satisfaisant 4" xfId="1116" xr:uid="{00000000-0005-0000-0000-000062040000}"/>
    <cellStyle name="Satisfaisant 4 2" xfId="1117" xr:uid="{00000000-0005-0000-0000-000063040000}"/>
    <cellStyle name="Satisfaisant 5" xfId="1118" xr:uid="{00000000-0005-0000-0000-000064040000}"/>
    <cellStyle name="Satisfaisant 5 2" xfId="1119" xr:uid="{00000000-0005-0000-0000-000065040000}"/>
    <cellStyle name="Sortie 2" xfId="1120" xr:uid="{00000000-0005-0000-0000-000066040000}"/>
    <cellStyle name="Sortie 2 2" xfId="1121" xr:uid="{00000000-0005-0000-0000-000067040000}"/>
    <cellStyle name="Sortie 3" xfId="1122" xr:uid="{00000000-0005-0000-0000-000068040000}"/>
    <cellStyle name="Sortie 3 2" xfId="1123" xr:uid="{00000000-0005-0000-0000-000069040000}"/>
    <cellStyle name="Sortie 4" xfId="1124" xr:uid="{00000000-0005-0000-0000-00006A040000}"/>
    <cellStyle name="Sortie 4 2" xfId="1125" xr:uid="{00000000-0005-0000-0000-00006B040000}"/>
    <cellStyle name="Sortie 5" xfId="1126" xr:uid="{00000000-0005-0000-0000-00006C040000}"/>
    <cellStyle name="Sortie 5 2" xfId="1127" xr:uid="{00000000-0005-0000-0000-00006D040000}"/>
    <cellStyle name="Texte explicatif 2" xfId="1128" xr:uid="{00000000-0005-0000-0000-00006E040000}"/>
    <cellStyle name="Texte explicatif 2 2" xfId="1129" xr:uid="{00000000-0005-0000-0000-00006F040000}"/>
    <cellStyle name="Texte explicatif 3" xfId="1130" xr:uid="{00000000-0005-0000-0000-000070040000}"/>
    <cellStyle name="Texte explicatif 3 2" xfId="1131" xr:uid="{00000000-0005-0000-0000-000071040000}"/>
    <cellStyle name="Texte explicatif 4" xfId="1132" xr:uid="{00000000-0005-0000-0000-000072040000}"/>
    <cellStyle name="Texte explicatif 4 2" xfId="1133" xr:uid="{00000000-0005-0000-0000-000073040000}"/>
    <cellStyle name="Texte explicatif 5" xfId="1134" xr:uid="{00000000-0005-0000-0000-000074040000}"/>
    <cellStyle name="Texte explicatif 5 2" xfId="1135" xr:uid="{00000000-0005-0000-0000-000075040000}"/>
    <cellStyle name="Titre 1" xfId="1136" xr:uid="{00000000-0005-0000-0000-000076040000}"/>
    <cellStyle name="Titre 2" xfId="1137" xr:uid="{00000000-0005-0000-0000-000077040000}"/>
    <cellStyle name="Titre 2 2" xfId="1138" xr:uid="{00000000-0005-0000-0000-000078040000}"/>
    <cellStyle name="Titre 3" xfId="1139" xr:uid="{00000000-0005-0000-0000-000079040000}"/>
    <cellStyle name="Titre 3 2" xfId="1140" xr:uid="{00000000-0005-0000-0000-00007A040000}"/>
    <cellStyle name="Titre 4" xfId="1141" xr:uid="{00000000-0005-0000-0000-00007B040000}"/>
    <cellStyle name="Titre 4 2" xfId="1142" xr:uid="{00000000-0005-0000-0000-00007C040000}"/>
    <cellStyle name="Titre 5" xfId="1143" xr:uid="{00000000-0005-0000-0000-00007D040000}"/>
    <cellStyle name="Titre 1 2" xfId="1144" xr:uid="{00000000-0005-0000-0000-00007E040000}"/>
    <cellStyle name="Titre 1 2 2" xfId="1145" xr:uid="{00000000-0005-0000-0000-00007F040000}"/>
    <cellStyle name="Titre 1 3" xfId="1146" xr:uid="{00000000-0005-0000-0000-000080040000}"/>
    <cellStyle name="Titre 1 3 2" xfId="1147" xr:uid="{00000000-0005-0000-0000-000081040000}"/>
    <cellStyle name="Titre 1 4" xfId="1148" xr:uid="{00000000-0005-0000-0000-000082040000}"/>
    <cellStyle name="Titre 1 4 2" xfId="1149" xr:uid="{00000000-0005-0000-0000-000083040000}"/>
    <cellStyle name="Titre 1 5" xfId="1150" xr:uid="{00000000-0005-0000-0000-000084040000}"/>
    <cellStyle name="Titre 2 2" xfId="1151" xr:uid="{00000000-0005-0000-0000-000085040000}"/>
    <cellStyle name="Titre 2 2 2" xfId="1152" xr:uid="{00000000-0005-0000-0000-000086040000}"/>
    <cellStyle name="Titre 2 3" xfId="1153" xr:uid="{00000000-0005-0000-0000-000087040000}"/>
    <cellStyle name="Titre 2 3 2" xfId="1154" xr:uid="{00000000-0005-0000-0000-000088040000}"/>
    <cellStyle name="Titre 2 4" xfId="1155" xr:uid="{00000000-0005-0000-0000-000089040000}"/>
    <cellStyle name="Titre 2 4 2" xfId="1156" xr:uid="{00000000-0005-0000-0000-00008A040000}"/>
    <cellStyle name="Titre 2 5" xfId="1157" xr:uid="{00000000-0005-0000-0000-00008B040000}"/>
    <cellStyle name="Titre 3 2" xfId="1158" xr:uid="{00000000-0005-0000-0000-00008C040000}"/>
    <cellStyle name="Titre 3 2 2" xfId="1159" xr:uid="{00000000-0005-0000-0000-00008D040000}"/>
    <cellStyle name="Titre 3 3" xfId="1160" xr:uid="{00000000-0005-0000-0000-00008E040000}"/>
    <cellStyle name="Titre 3 3 2" xfId="1161" xr:uid="{00000000-0005-0000-0000-00008F040000}"/>
    <cellStyle name="Titre 3 4" xfId="1162" xr:uid="{00000000-0005-0000-0000-000090040000}"/>
    <cellStyle name="Titre 3 4 2" xfId="1163" xr:uid="{00000000-0005-0000-0000-000091040000}"/>
    <cellStyle name="Titre 3 5" xfId="1164" xr:uid="{00000000-0005-0000-0000-000092040000}"/>
    <cellStyle name="Titre 4 2" xfId="1165" xr:uid="{00000000-0005-0000-0000-000093040000}"/>
    <cellStyle name="Titre 4 2 2" xfId="1166" xr:uid="{00000000-0005-0000-0000-000094040000}"/>
    <cellStyle name="Titre 4 3" xfId="1167" xr:uid="{00000000-0005-0000-0000-000095040000}"/>
    <cellStyle name="Titre 4 3 2" xfId="1168" xr:uid="{00000000-0005-0000-0000-000096040000}"/>
    <cellStyle name="Titre 4 4" xfId="1169" xr:uid="{00000000-0005-0000-0000-000097040000}"/>
    <cellStyle name="Titre 4 4 2" xfId="1170" xr:uid="{00000000-0005-0000-0000-000098040000}"/>
    <cellStyle name="Titre 4 5" xfId="1171" xr:uid="{00000000-0005-0000-0000-000099040000}"/>
    <cellStyle name="Total 10 2" xfId="1172" xr:uid="{00000000-0005-0000-0000-00009A040000}"/>
    <cellStyle name="Total 11 2" xfId="1173" xr:uid="{00000000-0005-0000-0000-00009B040000}"/>
    <cellStyle name="Total 12 2" xfId="1174" xr:uid="{00000000-0005-0000-0000-00009C040000}"/>
    <cellStyle name="Total 13 2" xfId="1175" xr:uid="{00000000-0005-0000-0000-00009D040000}"/>
    <cellStyle name="Total 14 2" xfId="1176" xr:uid="{00000000-0005-0000-0000-00009E040000}"/>
    <cellStyle name="Total 15 2" xfId="1177" xr:uid="{00000000-0005-0000-0000-00009F040000}"/>
    <cellStyle name="Total 16 2" xfId="1178" xr:uid="{00000000-0005-0000-0000-0000A0040000}"/>
    <cellStyle name="Total 17 2" xfId="1179" xr:uid="{00000000-0005-0000-0000-0000A1040000}"/>
    <cellStyle name="Total 18 2" xfId="1180" xr:uid="{00000000-0005-0000-0000-0000A2040000}"/>
    <cellStyle name="Total 19 2" xfId="1181" xr:uid="{00000000-0005-0000-0000-0000A3040000}"/>
    <cellStyle name="Total 2" xfId="1182" xr:uid="{00000000-0005-0000-0000-0000A4040000}"/>
    <cellStyle name="Total 2 2" xfId="1183" xr:uid="{00000000-0005-0000-0000-0000A5040000}"/>
    <cellStyle name="Total 20 2" xfId="1184" xr:uid="{00000000-0005-0000-0000-0000A6040000}"/>
    <cellStyle name="Total 21 2" xfId="1185" xr:uid="{00000000-0005-0000-0000-0000A7040000}"/>
    <cellStyle name="Total 22 2" xfId="1186" xr:uid="{00000000-0005-0000-0000-0000A8040000}"/>
    <cellStyle name="Total 23 2" xfId="1187" xr:uid="{00000000-0005-0000-0000-0000A9040000}"/>
    <cellStyle name="Total 24 2" xfId="1188" xr:uid="{00000000-0005-0000-0000-0000AA040000}"/>
    <cellStyle name="Total 25 2" xfId="1189" xr:uid="{00000000-0005-0000-0000-0000AB040000}"/>
    <cellStyle name="Total 26 2" xfId="1190" xr:uid="{00000000-0005-0000-0000-0000AC040000}"/>
    <cellStyle name="Total 27 2" xfId="1191" xr:uid="{00000000-0005-0000-0000-0000AD040000}"/>
    <cellStyle name="Total 28 2" xfId="1192" xr:uid="{00000000-0005-0000-0000-0000AE040000}"/>
    <cellStyle name="Total 29 2" xfId="1193" xr:uid="{00000000-0005-0000-0000-0000AF040000}"/>
    <cellStyle name="Total 3" xfId="1194" xr:uid="{00000000-0005-0000-0000-0000B0040000}"/>
    <cellStyle name="Total 3 2" xfId="1195" xr:uid="{00000000-0005-0000-0000-0000B1040000}"/>
    <cellStyle name="Total 3 2 2" xfId="1196" xr:uid="{00000000-0005-0000-0000-0000B2040000}"/>
    <cellStyle name="Total 3 3" xfId="1197" xr:uid="{00000000-0005-0000-0000-0000B3040000}"/>
    <cellStyle name="Total 30 2" xfId="1198" xr:uid="{00000000-0005-0000-0000-0000B4040000}"/>
    <cellStyle name="Total 31 2" xfId="1199" xr:uid="{00000000-0005-0000-0000-0000B5040000}"/>
    <cellStyle name="Total 32 2" xfId="1200" xr:uid="{00000000-0005-0000-0000-0000B6040000}"/>
    <cellStyle name="Total 33 2" xfId="1201" xr:uid="{00000000-0005-0000-0000-0000B7040000}"/>
    <cellStyle name="Total 34 2" xfId="1202" xr:uid="{00000000-0005-0000-0000-0000B8040000}"/>
    <cellStyle name="Total 35 2" xfId="1203" xr:uid="{00000000-0005-0000-0000-0000B9040000}"/>
    <cellStyle name="Total 36 2" xfId="1204" xr:uid="{00000000-0005-0000-0000-0000BA040000}"/>
    <cellStyle name="Total 37 2" xfId="1205" xr:uid="{00000000-0005-0000-0000-0000BB040000}"/>
    <cellStyle name="Total 38 2" xfId="1206" xr:uid="{00000000-0005-0000-0000-0000BC040000}"/>
    <cellStyle name="Total 39 2" xfId="1207" xr:uid="{00000000-0005-0000-0000-0000BD040000}"/>
    <cellStyle name="Total 4" xfId="1208" xr:uid="{00000000-0005-0000-0000-0000BE040000}"/>
    <cellStyle name="Total 4 2" xfId="1209" xr:uid="{00000000-0005-0000-0000-0000BF040000}"/>
    <cellStyle name="Total 4 2 2" xfId="1210" xr:uid="{00000000-0005-0000-0000-0000C0040000}"/>
    <cellStyle name="Total 4 3" xfId="1211" xr:uid="{00000000-0005-0000-0000-0000C1040000}"/>
    <cellStyle name="Total 40 2" xfId="1212" xr:uid="{00000000-0005-0000-0000-0000C2040000}"/>
    <cellStyle name="Total 41 2" xfId="1213" xr:uid="{00000000-0005-0000-0000-0000C3040000}"/>
    <cellStyle name="Total 42" xfId="1214" xr:uid="{00000000-0005-0000-0000-0000C4040000}"/>
    <cellStyle name="Total 43" xfId="1215" xr:uid="{00000000-0005-0000-0000-0000C5040000}"/>
    <cellStyle name="Total 5" xfId="1216" xr:uid="{00000000-0005-0000-0000-0000C6040000}"/>
    <cellStyle name="Total 5 2" xfId="1217" xr:uid="{00000000-0005-0000-0000-0000C7040000}"/>
    <cellStyle name="Total 5 2 2" xfId="1218" xr:uid="{00000000-0005-0000-0000-0000C8040000}"/>
    <cellStyle name="Total 5 3" xfId="1219" xr:uid="{00000000-0005-0000-0000-0000C9040000}"/>
    <cellStyle name="Total 6" xfId="1220" xr:uid="{00000000-0005-0000-0000-0000CA040000}"/>
    <cellStyle name="Total 6 2" xfId="1221" xr:uid="{00000000-0005-0000-0000-0000CB040000}"/>
    <cellStyle name="Total 7 2" xfId="1222" xr:uid="{00000000-0005-0000-0000-0000CC040000}"/>
    <cellStyle name="Total 8 2" xfId="1223" xr:uid="{00000000-0005-0000-0000-0000CD040000}"/>
    <cellStyle name="Total 9 2" xfId="1224" xr:uid="{00000000-0005-0000-0000-0000CE040000}"/>
    <cellStyle name="Vérification 2" xfId="1225" xr:uid="{00000000-0005-0000-0000-0000CF040000}"/>
    <cellStyle name="Vérification 2 2" xfId="1226" xr:uid="{00000000-0005-0000-0000-0000D0040000}"/>
    <cellStyle name="Vérification 3" xfId="1227" xr:uid="{00000000-0005-0000-0000-0000D1040000}"/>
    <cellStyle name="Vérification 3 2" xfId="1228" xr:uid="{00000000-0005-0000-0000-0000D2040000}"/>
    <cellStyle name="Vérification 4" xfId="1229" xr:uid="{00000000-0005-0000-0000-0000D3040000}"/>
    <cellStyle name="Vérification 4 2" xfId="1230" xr:uid="{00000000-0005-0000-0000-0000D4040000}"/>
    <cellStyle name="Vérification 5" xfId="1231" xr:uid="{00000000-0005-0000-0000-0000D5040000}"/>
    <cellStyle name="Vérification 5 2" xfId="1232" xr:uid="{00000000-0005-0000-0000-0000D6040000}"/>
    <cellStyle name="Virgule fixe" xfId="1233" xr:uid="{00000000-0005-0000-0000-0000D7040000}"/>
    <cellStyle name="Virgule fixe 10" xfId="1234" xr:uid="{00000000-0005-0000-0000-0000D8040000}"/>
    <cellStyle name="Virgule fixe 11" xfId="1235" xr:uid="{00000000-0005-0000-0000-0000D9040000}"/>
    <cellStyle name="Virgule fixe 12" xfId="1236" xr:uid="{00000000-0005-0000-0000-0000DA040000}"/>
    <cellStyle name="Virgule fixe 13" xfId="1237" xr:uid="{00000000-0005-0000-0000-0000DB040000}"/>
    <cellStyle name="Virgule fixe 14" xfId="1238" xr:uid="{00000000-0005-0000-0000-0000DC040000}"/>
    <cellStyle name="Virgule fixe 15" xfId="1239" xr:uid="{00000000-0005-0000-0000-0000DD040000}"/>
    <cellStyle name="Virgule fixe 16" xfId="1240" xr:uid="{00000000-0005-0000-0000-0000DE040000}"/>
    <cellStyle name="Virgule fixe 17" xfId="1241" xr:uid="{00000000-0005-0000-0000-0000DF040000}"/>
    <cellStyle name="Virgule fixe 18" xfId="1242" xr:uid="{00000000-0005-0000-0000-0000E0040000}"/>
    <cellStyle name="Virgule fixe 19" xfId="1243" xr:uid="{00000000-0005-0000-0000-0000E1040000}"/>
    <cellStyle name="Virgule fixe 2" xfId="1244" xr:uid="{00000000-0005-0000-0000-0000E2040000}"/>
    <cellStyle name="Virgule fixe 20" xfId="1245" xr:uid="{00000000-0005-0000-0000-0000E3040000}"/>
    <cellStyle name="Virgule fixe 21" xfId="1246" xr:uid="{00000000-0005-0000-0000-0000E4040000}"/>
    <cellStyle name="Virgule fixe 22" xfId="1247" xr:uid="{00000000-0005-0000-0000-0000E5040000}"/>
    <cellStyle name="Virgule fixe 23" xfId="1248" xr:uid="{00000000-0005-0000-0000-0000E6040000}"/>
    <cellStyle name="Virgule fixe 24" xfId="1249" xr:uid="{00000000-0005-0000-0000-0000E7040000}"/>
    <cellStyle name="Virgule fixe 25" xfId="1250" xr:uid="{00000000-0005-0000-0000-0000E8040000}"/>
    <cellStyle name="Virgule fixe 26" xfId="1251" xr:uid="{00000000-0005-0000-0000-0000E9040000}"/>
    <cellStyle name="Virgule fixe 27" xfId="1252" xr:uid="{00000000-0005-0000-0000-0000EA040000}"/>
    <cellStyle name="Virgule fixe 28" xfId="1253" xr:uid="{00000000-0005-0000-0000-0000EB040000}"/>
    <cellStyle name="Virgule fixe 29" xfId="1254" xr:uid="{00000000-0005-0000-0000-0000EC040000}"/>
    <cellStyle name="Virgule fixe 3" xfId="1255" xr:uid="{00000000-0005-0000-0000-0000ED040000}"/>
    <cellStyle name="Virgule fixe 30" xfId="1256" xr:uid="{00000000-0005-0000-0000-0000EE040000}"/>
    <cellStyle name="Virgule fixe 31" xfId="1257" xr:uid="{00000000-0005-0000-0000-0000EF040000}"/>
    <cellStyle name="Virgule fixe 32" xfId="1258" xr:uid="{00000000-0005-0000-0000-0000F0040000}"/>
    <cellStyle name="Virgule fixe 33" xfId="1259" xr:uid="{00000000-0005-0000-0000-0000F1040000}"/>
    <cellStyle name="Virgule fixe 34" xfId="1260" xr:uid="{00000000-0005-0000-0000-0000F2040000}"/>
    <cellStyle name="Virgule fixe 35" xfId="1261" xr:uid="{00000000-0005-0000-0000-0000F3040000}"/>
    <cellStyle name="Virgule fixe 36" xfId="1262" xr:uid="{00000000-0005-0000-0000-0000F4040000}"/>
    <cellStyle name="Virgule fixe 37" xfId="1263" xr:uid="{00000000-0005-0000-0000-0000F5040000}"/>
    <cellStyle name="Virgule fixe 38" xfId="1264" xr:uid="{00000000-0005-0000-0000-0000F6040000}"/>
    <cellStyle name="Virgule fixe 4" xfId="1265" xr:uid="{00000000-0005-0000-0000-0000F7040000}"/>
    <cellStyle name="Virgule fixe 5" xfId="1266" xr:uid="{00000000-0005-0000-0000-0000F8040000}"/>
    <cellStyle name="Virgule fixe 6" xfId="1267" xr:uid="{00000000-0005-0000-0000-0000F9040000}"/>
    <cellStyle name="Virgule fixe 7" xfId="1268" xr:uid="{00000000-0005-0000-0000-0000FA040000}"/>
    <cellStyle name="Virgule fixe 8" xfId="1269" xr:uid="{00000000-0005-0000-0000-0000FB040000}"/>
    <cellStyle name="Virgule fixe 9" xfId="1270" xr:uid="{00000000-0005-0000-0000-0000FC040000}"/>
  </cellStyles>
  <dxfs count="191">
    <dxf>
      <numFmt numFmtId="188" formatCode="\-"/>
    </dxf>
    <dxf>
      <numFmt numFmtId="1" formatCode="0"/>
    </dxf>
    <dxf>
      <numFmt numFmtId="1" formatCode="0"/>
    </dxf>
    <dxf>
      <font>
        <b/>
        <i val="0"/>
        <color rgb="FF6BA42C"/>
      </fon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font>
        <b/>
        <i val="0"/>
      </font>
    </dxf>
    <dxf>
      <font>
        <b/>
        <i val="0"/>
      </font>
    </dxf>
    <dxf>
      <font>
        <b/>
        <i val="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patternType="lightUp">
          <bgColor rgb="FFFFFFFF"/>
        </patternFill>
      </fill>
    </dxf>
    <dxf>
      <font>
        <color rgb="FFFF0000"/>
      </font>
      <fill>
        <patternFill>
          <bgColor rgb="FFFF0000"/>
        </patternFill>
      </fill>
    </dxf>
    <dxf>
      <font>
        <color rgb="FFFF0000"/>
      </font>
      <fill>
        <patternFill>
          <bgColor rgb="FFFF0000"/>
        </patternFill>
      </fill>
    </dxf>
    <dxf>
      <fill>
        <patternFill patternType="lightUp">
          <bgColor rgb="FFFFFFFF"/>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ont>
        <color theme="0" tint="-0.499984740745262"/>
      </font>
      <fill>
        <patternFill patternType="solid">
          <bgColor theme="0" tint="-0.499984740745262"/>
        </patternFill>
      </fill>
    </dxf>
    <dxf>
      <font>
        <color auto="1"/>
      </font>
      <fill>
        <patternFill patternType="lightUp">
          <bgColor theme="0"/>
        </patternFill>
      </fill>
    </dxf>
    <dxf>
      <fill>
        <patternFill>
          <bgColor rgb="FFFFFF99"/>
        </patternFill>
      </fill>
    </dxf>
    <dxf>
      <fill>
        <patternFill>
          <bgColor rgb="FFFFFF99"/>
        </patternFill>
      </fill>
    </dxf>
    <dxf>
      <fill>
        <patternFill>
          <bgColor rgb="FFFFFF99"/>
        </patternFill>
      </fill>
    </dxf>
    <dxf>
      <font>
        <b val="0"/>
        <i val="0"/>
      </font>
      <fill>
        <patternFill patternType="none">
          <bgColor auto="1"/>
        </patternFill>
      </fill>
    </dxf>
    <dxf>
      <font>
        <b/>
        <i val="0"/>
        <color rgb="FFFF0000"/>
      </font>
    </dxf>
    <dxf>
      <fill>
        <patternFill>
          <bgColor rgb="FFFFFF99"/>
        </patternFill>
      </fill>
    </dxf>
    <dxf>
      <fill>
        <patternFill>
          <bgColor rgb="FFFFFF99"/>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FF99"/>
        </patternFill>
      </fill>
    </dxf>
    <dxf>
      <font>
        <color rgb="FFFF0000"/>
      </font>
      <fill>
        <patternFill>
          <bgColor rgb="FFFF0000"/>
        </patternFill>
      </fill>
    </dxf>
    <dxf>
      <font>
        <color auto="1"/>
      </font>
      <fill>
        <patternFill patternType="lightUp">
          <bgColor theme="0"/>
        </patternFill>
      </fill>
    </dxf>
    <dxf>
      <font>
        <color theme="0" tint="-0.499984740745262"/>
      </font>
      <fill>
        <patternFill patternType="solid">
          <bgColor theme="0" tint="-0.499984740745262"/>
        </patternFill>
      </fill>
    </dxf>
    <dxf>
      <font>
        <color rgb="FFFF0000"/>
      </font>
      <fill>
        <patternFill>
          <bgColor rgb="FFFF0000"/>
        </patternFill>
      </fill>
    </dxf>
    <dxf>
      <font>
        <color rgb="FFFF0000"/>
      </font>
      <fill>
        <patternFill>
          <bgColor rgb="FFFF0000"/>
        </patternFill>
      </fill>
    </dxf>
    <dxf>
      <font>
        <b val="0"/>
        <i val="0"/>
      </font>
      <fill>
        <patternFill patternType="none">
          <bgColor auto="1"/>
        </patternFill>
      </fill>
    </dxf>
    <dxf>
      <font>
        <b/>
        <i val="0"/>
        <color rgb="FFFF000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theme="1" tint="0.34998626667073579"/>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auto="1"/>
      </font>
    </dxf>
    <dxf>
      <font>
        <b/>
        <i val="0"/>
        <color rgb="FFFF000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auto="1"/>
      </font>
      <fill>
        <patternFill patternType="lightUp">
          <bgColor theme="0"/>
        </patternFill>
      </fill>
    </dxf>
    <dxf>
      <font>
        <color auto="1"/>
      </font>
      <fill>
        <patternFill patternType="lightUp">
          <bgColor theme="0"/>
        </patternFill>
      </fill>
    </dxf>
    <dxf>
      <font>
        <color auto="1"/>
      </font>
      <fill>
        <patternFill patternType="lightUp">
          <bgColor theme="0"/>
        </patternFill>
      </fill>
    </dxf>
    <dxf>
      <font>
        <color auto="1"/>
      </font>
      <fill>
        <patternFill patternType="lightUp">
          <bgColor theme="0"/>
        </patternFill>
      </fill>
    </dxf>
    <dxf>
      <font>
        <color auto="1"/>
      </font>
      <fill>
        <patternFill patternType="lightUp">
          <bgColor theme="0"/>
        </patternFill>
      </fill>
    </dxf>
    <dxf>
      <font>
        <color auto="1"/>
      </font>
      <fill>
        <patternFill patternType="lightUp">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3300"/>
      <color rgb="FFFFFFFF"/>
      <color rgb="FFDBEEF3"/>
      <color rgb="FFFFFFCC"/>
      <color rgb="FF6DDAE9"/>
      <color rgb="FF59FDE9"/>
      <color rgb="FFBC8FDD"/>
      <color rgb="FFFF7C80"/>
      <color rgb="FF34C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latin typeface="Arial" pitchFamily="34" charset="0"/>
                <a:cs typeface="Arial" pitchFamily="34" charset="0"/>
              </a:rPr>
              <a:t>Répartition des émissions de poussières totales par source d'émissions</a:t>
            </a:r>
          </a:p>
        </c:rich>
      </c:tx>
      <c:overlay val="0"/>
    </c:title>
    <c:autoTitleDeleted val="0"/>
    <c:plotArea>
      <c:layout>
        <c:manualLayout>
          <c:layoutTarget val="inner"/>
          <c:xMode val="edge"/>
          <c:yMode val="edge"/>
          <c:x val="0.14431726701633918"/>
          <c:y val="0.11630453801970395"/>
          <c:w val="0.28943239186318492"/>
          <c:h val="0.7759252433871493"/>
        </c:manualLayout>
      </c:layout>
      <c:doughnut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multiLvlStrRef>
              <c:f>'Fiche de renseignements'!$C$26:$H$27</c:f>
              <c:multiLvlStrCache>
                <c:ptCount val="6"/>
                <c:lvl>
                  <c:pt idx="1">
                    <c:v>Emissions canalisées</c:v>
                  </c:pt>
                  <c:pt idx="2">
                    <c:v>Emissions diffuses</c:v>
                  </c:pt>
                </c:lvl>
                <c:lvl>
                  <c:pt idx="0">
                    <c:v>Forage/minage</c:v>
                  </c:pt>
                  <c:pt idx="1">
                    <c:v>Installation de transformation</c:v>
                  </c:pt>
                  <c:pt idx="3">
                    <c:v>Transport interne</c:v>
                  </c:pt>
                  <c:pt idx="4">
                    <c:v>Gestion des stocks</c:v>
                  </c:pt>
                  <c:pt idx="5">
                    <c:v>Erosion des stocks</c:v>
                  </c:pt>
                </c:lvl>
              </c:multiLvlStrCache>
            </c:multiLvlStrRef>
          </c:cat>
          <c:val>
            <c:numRef>
              <c:f>'Fiche de renseignements'!$C$28:$H$28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AE5-4416-8A01-3CC524F4C546}"/>
            </c:ext>
          </c:extLst>
        </c:ser>
        <c:dLbls>
          <c:showLegendKey val="0"/>
          <c:showVal val="0"/>
          <c:showCatName val="0"/>
          <c:showSerName val="0"/>
          <c:showPercent val="1"/>
          <c:showBubbleSize val="0"/>
          <c:showLeaderLines val="1"/>
        </c:dLbls>
        <c:firstSliceAng val="0"/>
        <c:holeSize val="30"/>
      </c:doughnutChart>
    </c:plotArea>
    <c:legend>
      <c:legendPos val="r"/>
      <c:layout>
        <c:manualLayout>
          <c:xMode val="edge"/>
          <c:yMode val="edge"/>
          <c:x val="0.49832248426967096"/>
          <c:y val="0.20879721556544953"/>
          <c:w val="0.46044976827087813"/>
          <c:h val="0.72106660580470927"/>
        </c:manualLayout>
      </c:layout>
      <c:overlay val="0"/>
      <c:txPr>
        <a:bodyPr/>
        <a:lstStyle/>
        <a:p>
          <a:pPr>
            <a:defRPr sz="1400"/>
          </a:pPr>
          <a:endParaRPr lang="fr-FR"/>
        </a:p>
      </c:txPr>
    </c:legend>
    <c:plotVisOnly val="1"/>
    <c:dispBlanksAs val="zero"/>
    <c:showDLblsOverMax val="0"/>
  </c:chart>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a:latin typeface="Arial" pitchFamily="34" charset="0"/>
                <a:cs typeface="Arial" pitchFamily="34" charset="0"/>
              </a:rPr>
              <a:t>Répartition des émissions de PM10 par source d'émissions</a:t>
            </a:r>
          </a:p>
        </c:rich>
      </c:tx>
      <c:layout>
        <c:manualLayout>
          <c:xMode val="edge"/>
          <c:yMode val="edge"/>
          <c:x val="0.19215119043053858"/>
          <c:y val="2.906121119187079E-2"/>
        </c:manualLayout>
      </c:layout>
      <c:overlay val="0"/>
    </c:title>
    <c:autoTitleDeleted val="0"/>
    <c:plotArea>
      <c:layout>
        <c:manualLayout>
          <c:layoutTarget val="inner"/>
          <c:xMode val="edge"/>
          <c:yMode val="edge"/>
          <c:x val="5.4589760833504183E-2"/>
          <c:y val="0.16749025944966706"/>
          <c:w val="0.31152953595794419"/>
          <c:h val="0.77713644422850459"/>
        </c:manualLayout>
      </c:layout>
      <c:doughnutChart>
        <c:varyColors val="1"/>
        <c:ser>
          <c:idx val="0"/>
          <c:order val="0"/>
          <c:explosion val="25"/>
          <c:dLbls>
            <c:dLbl>
              <c:idx val="3"/>
              <c:layout>
                <c:manualLayout>
                  <c:x val="-1.677106655597814E-7"/>
                  <c:y val="4.62962962962970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A64-4689-B4CD-3E477DAA7CCD}"/>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multiLvlStrRef>
              <c:f>'Fiche de renseignements'!$C$26:$H$27</c:f>
              <c:multiLvlStrCache>
                <c:ptCount val="6"/>
                <c:lvl>
                  <c:pt idx="1">
                    <c:v>Emissions canalisées</c:v>
                  </c:pt>
                  <c:pt idx="2">
                    <c:v>Emissions diffuses</c:v>
                  </c:pt>
                </c:lvl>
                <c:lvl>
                  <c:pt idx="0">
                    <c:v>Forage/minage</c:v>
                  </c:pt>
                  <c:pt idx="1">
                    <c:v>Installation de transformation</c:v>
                  </c:pt>
                  <c:pt idx="3">
                    <c:v>Transport interne</c:v>
                  </c:pt>
                  <c:pt idx="4">
                    <c:v>Gestion des stocks</c:v>
                  </c:pt>
                  <c:pt idx="5">
                    <c:v>Erosion des stocks</c:v>
                  </c:pt>
                </c:lvl>
              </c:multiLvlStrCache>
            </c:multiLvlStrRef>
          </c:cat>
          <c:val>
            <c:numRef>
              <c:f>'Fiche de renseignements'!$C$29:$H$29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A64-4689-B4CD-3E477DAA7CCD}"/>
            </c:ext>
          </c:extLst>
        </c:ser>
        <c:dLbls>
          <c:showLegendKey val="0"/>
          <c:showVal val="0"/>
          <c:showCatName val="0"/>
          <c:showSerName val="0"/>
          <c:showPercent val="1"/>
          <c:showBubbleSize val="0"/>
          <c:showLeaderLines val="1"/>
        </c:dLbls>
        <c:firstSliceAng val="0"/>
        <c:holeSize val="30"/>
      </c:doughnutChart>
    </c:plotArea>
    <c:legend>
      <c:legendPos val="r"/>
      <c:layout>
        <c:manualLayout>
          <c:xMode val="edge"/>
          <c:yMode val="edge"/>
          <c:x val="0.40322669772114894"/>
          <c:y val="0.18970586211628873"/>
          <c:w val="0.56514416774153231"/>
          <c:h val="0.74541026706233648"/>
        </c:manualLayout>
      </c:layout>
      <c:overlay val="0"/>
      <c:txPr>
        <a:bodyPr/>
        <a:lstStyle/>
        <a:p>
          <a:pPr>
            <a:defRPr sz="1400"/>
          </a:pPr>
          <a:endParaRPr lang="fr-FR"/>
        </a:p>
      </c:txPr>
    </c:legend>
    <c:plotVisOnly val="1"/>
    <c:dispBlanksAs val="zero"/>
    <c:showDLblsOverMax val="0"/>
  </c:chart>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latin typeface="Arial" pitchFamily="34" charset="0"/>
                <a:cs typeface="Arial" pitchFamily="34" charset="0"/>
              </a:rPr>
              <a:t>Répartition</a:t>
            </a:r>
            <a:r>
              <a:rPr lang="fr-FR" sz="1050" baseline="0">
                <a:latin typeface="Arial" pitchFamily="34" charset="0"/>
                <a:cs typeface="Arial" pitchFamily="34" charset="0"/>
              </a:rPr>
              <a:t> des émissions de poussières totales entre les poussières abattues et les poussières émises à l'atmosphère.</a:t>
            </a:r>
            <a:endParaRPr lang="fr-FR" sz="1050">
              <a:latin typeface="Arial" pitchFamily="34" charset="0"/>
              <a:cs typeface="Arial" pitchFamily="34" charset="0"/>
            </a:endParaRPr>
          </a:p>
        </c:rich>
      </c:tx>
      <c:layout>
        <c:manualLayout>
          <c:xMode val="edge"/>
          <c:yMode val="edge"/>
          <c:x val="0.16546542011317941"/>
          <c:y val="3.8507807306325852E-2"/>
        </c:manualLayout>
      </c:layout>
      <c:overlay val="0"/>
    </c:title>
    <c:autoTitleDeleted val="0"/>
    <c:plotArea>
      <c:layout>
        <c:manualLayout>
          <c:layoutTarget val="inner"/>
          <c:xMode val="edge"/>
          <c:yMode val="edge"/>
          <c:x val="5.0648305133402287E-2"/>
          <c:y val="9.7707429265106893E-2"/>
          <c:w val="0.37065118517918538"/>
          <c:h val="0.88836204780471428"/>
        </c:manualLayout>
      </c:layout>
      <c:doughnutChart>
        <c:varyColors val="1"/>
        <c:ser>
          <c:idx val="0"/>
          <c:order val="0"/>
          <c:tx>
            <c:v>Emissions de TSP</c:v>
          </c:tx>
          <c:explosion val="25"/>
          <c:dLbls>
            <c:dLbl>
              <c:idx val="3"/>
              <c:layout>
                <c:manualLayout>
                  <c:x val="-1.6771066555978151E-7"/>
                  <c:y val="4.62962962962970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9EA-4007-9E02-88D4B7FDD374}"/>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('Fiche de renseignements'!$I$26,'Fiche de renseignements'!$K$26)</c:f>
              <c:strCache>
                <c:ptCount val="2"/>
                <c:pt idx="0">
                  <c:v>Total émis</c:v>
                </c:pt>
                <c:pt idx="1">
                  <c:v>Quantité de pousières abattues grâce à la mise en place de systèmes de réduction des émissions</c:v>
                </c:pt>
              </c:strCache>
            </c:strRef>
          </c:cat>
          <c:val>
            <c:numRef>
              <c:f>('Fiche de renseignements'!$I$28,'Fiche de renseignements'!$K$28)</c:f>
              <c:numCache>
                <c:formatCode>#\ ##0_ ;\-#\ ##0\ </c:formatCode>
                <c:ptCount val="2"/>
                <c:pt idx="0" formatCode="#,##0">
                  <c:v>0</c:v>
                </c:pt>
                <c:pt idx="1">
                  <c:v>0</c:v>
                </c:pt>
              </c:numCache>
            </c:numRef>
          </c:val>
          <c:extLst>
            <c:ext xmlns:c16="http://schemas.microsoft.com/office/drawing/2014/chart" uri="{C3380CC4-5D6E-409C-BE32-E72D297353CC}">
              <c16:uniqueId val="{00000001-D9EA-4007-9E02-88D4B7FDD374}"/>
            </c:ext>
          </c:extLst>
        </c:ser>
        <c:dLbls>
          <c:showLegendKey val="0"/>
          <c:showVal val="0"/>
          <c:showCatName val="0"/>
          <c:showSerName val="0"/>
          <c:showPercent val="1"/>
          <c:showBubbleSize val="0"/>
          <c:showLeaderLines val="1"/>
        </c:dLbls>
        <c:firstSliceAng val="0"/>
        <c:holeSize val="30"/>
      </c:doughnutChart>
    </c:plotArea>
    <c:legend>
      <c:legendPos val="r"/>
      <c:layout>
        <c:manualLayout>
          <c:xMode val="edge"/>
          <c:yMode val="edge"/>
          <c:x val="0.58287046310471868"/>
          <c:y val="0.24293366272056149"/>
          <c:w val="0.37071879774259742"/>
          <c:h val="0.70018715620689065"/>
        </c:manualLayout>
      </c:layout>
      <c:overlay val="0"/>
      <c:txPr>
        <a:bodyPr/>
        <a:lstStyle/>
        <a:p>
          <a:pPr>
            <a:defRPr sz="1200"/>
          </a:pPr>
          <a:endParaRPr lang="fr-FR"/>
        </a:p>
      </c:txPr>
    </c:legend>
    <c:plotVisOnly val="1"/>
    <c:dispBlanksAs val="zero"/>
    <c:showDLblsOverMax val="0"/>
  </c:chart>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Arial" pitchFamily="34" charset="0"/>
                <a:cs typeface="Arial" pitchFamily="34" charset="0"/>
              </a:defRPr>
            </a:pPr>
            <a:r>
              <a:rPr lang="fr-FR" sz="1050" b="1" i="0" u="none" strike="noStrike" baseline="0">
                <a:latin typeface="Arial" pitchFamily="34" charset="0"/>
                <a:cs typeface="Arial" pitchFamily="34" charset="0"/>
              </a:rPr>
              <a:t>Répartition des émissions de PM10 entre les poussières abattues et les poussières émises à l'atmosphère</a:t>
            </a:r>
            <a:endParaRPr lang="fr-FR" sz="1050">
              <a:latin typeface="Arial" pitchFamily="34" charset="0"/>
              <a:cs typeface="Arial" pitchFamily="34" charset="0"/>
            </a:endParaRPr>
          </a:p>
        </c:rich>
      </c:tx>
      <c:layout>
        <c:manualLayout>
          <c:xMode val="edge"/>
          <c:yMode val="edge"/>
          <c:x val="0.16546542011317941"/>
          <c:y val="3.8507807306325852E-2"/>
        </c:manualLayout>
      </c:layout>
      <c:overlay val="0"/>
    </c:title>
    <c:autoTitleDeleted val="0"/>
    <c:plotArea>
      <c:layout>
        <c:manualLayout>
          <c:layoutTarget val="inner"/>
          <c:xMode val="edge"/>
          <c:yMode val="edge"/>
          <c:x val="5.0648305133402287E-2"/>
          <c:y val="9.7707429265106893E-2"/>
          <c:w val="0.37065118517918538"/>
          <c:h val="0.88836204780471406"/>
        </c:manualLayout>
      </c:layout>
      <c:doughnutChart>
        <c:varyColors val="1"/>
        <c:ser>
          <c:idx val="0"/>
          <c:order val="0"/>
          <c:tx>
            <c:v>Emissions de TSP</c:v>
          </c:tx>
          <c:explosion val="25"/>
          <c:dLbls>
            <c:dLbl>
              <c:idx val="3"/>
              <c:layout>
                <c:manualLayout>
                  <c:x val="-1.6771066555978162E-7"/>
                  <c:y val="4.62962962962970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947-40D3-9745-563D887CB2D2}"/>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('Fiche de renseignements'!$I$26,'Fiche de renseignements'!$K$26)</c:f>
              <c:strCache>
                <c:ptCount val="2"/>
                <c:pt idx="0">
                  <c:v>Total émis</c:v>
                </c:pt>
                <c:pt idx="1">
                  <c:v>Quantité de pousières abattues grâce à la mise en place de systèmes de réduction des émissions</c:v>
                </c:pt>
              </c:strCache>
            </c:strRef>
          </c:cat>
          <c:val>
            <c:numRef>
              <c:f>('Fiche de renseignements'!$I$29,'Fiche de renseignements'!$K$29)</c:f>
              <c:numCache>
                <c:formatCode>#\ ##0_ ;\-#\ ##0\ </c:formatCode>
                <c:ptCount val="2"/>
                <c:pt idx="0" formatCode="#,##0">
                  <c:v>0</c:v>
                </c:pt>
                <c:pt idx="1">
                  <c:v>0</c:v>
                </c:pt>
              </c:numCache>
            </c:numRef>
          </c:val>
          <c:extLst>
            <c:ext xmlns:c16="http://schemas.microsoft.com/office/drawing/2014/chart" uri="{C3380CC4-5D6E-409C-BE32-E72D297353CC}">
              <c16:uniqueId val="{00000001-D947-40D3-9745-563D887CB2D2}"/>
            </c:ext>
          </c:extLst>
        </c:ser>
        <c:dLbls>
          <c:showLegendKey val="0"/>
          <c:showVal val="0"/>
          <c:showCatName val="0"/>
          <c:showSerName val="0"/>
          <c:showPercent val="1"/>
          <c:showBubbleSize val="0"/>
          <c:showLeaderLines val="1"/>
        </c:dLbls>
        <c:firstSliceAng val="0"/>
        <c:holeSize val="30"/>
      </c:doughnutChart>
    </c:plotArea>
    <c:legend>
      <c:legendPos val="r"/>
      <c:layout>
        <c:manualLayout>
          <c:xMode val="edge"/>
          <c:yMode val="edge"/>
          <c:x val="0.58287046310471868"/>
          <c:y val="0.24293366272056149"/>
          <c:w val="0.37071879774259753"/>
          <c:h val="0.70018715620689065"/>
        </c:manualLayout>
      </c:layout>
      <c:overlay val="0"/>
      <c:txPr>
        <a:bodyPr/>
        <a:lstStyle/>
        <a:p>
          <a:pPr>
            <a:defRPr sz="1200"/>
          </a:pPr>
          <a:endParaRPr lang="fr-FR"/>
        </a:p>
      </c:txPr>
    </c:legend>
    <c:plotVisOnly val="1"/>
    <c:dispBlanksAs val="zero"/>
    <c:showDLblsOverMax val="0"/>
  </c:chart>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image" Target="../media/image3.jpe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6.emf"/><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897031</xdr:colOff>
      <xdr:row>1</xdr:row>
      <xdr:rowOff>71157</xdr:rowOff>
    </xdr:from>
    <xdr:to>
      <xdr:col>4</xdr:col>
      <xdr:colOff>121584</xdr:colOff>
      <xdr:row>7</xdr:row>
      <xdr:rowOff>147357</xdr:rowOff>
    </xdr:to>
    <xdr:pic>
      <xdr:nvPicPr>
        <xdr:cNvPr id="2" name="il_fi" descr="http://www.symetris.fr/wp-content/uploads/Logo-CITEPA-pollution-atmosphere_Citepa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42590" y="452157"/>
          <a:ext cx="1219200" cy="1219200"/>
        </a:xfrm>
        <a:prstGeom prst="rect">
          <a:avLst/>
        </a:prstGeom>
        <a:noFill/>
      </xdr:spPr>
    </xdr:pic>
    <xdr:clientData/>
  </xdr:twoCellAnchor>
  <xdr:twoCellAnchor editAs="oneCell">
    <xdr:from>
      <xdr:col>6</xdr:col>
      <xdr:colOff>131108</xdr:colOff>
      <xdr:row>1</xdr:row>
      <xdr:rowOff>126626</xdr:rowOff>
    </xdr:from>
    <xdr:to>
      <xdr:col>7</xdr:col>
      <xdr:colOff>479548</xdr:colOff>
      <xdr:row>7</xdr:row>
      <xdr:rowOff>117661</xdr:rowOff>
    </xdr:to>
    <xdr:pic>
      <xdr:nvPicPr>
        <xdr:cNvPr id="3" name="il_fi" descr="http://www.semardel.fr/wp-content/uploads/2011/01/Logo-UNICEM.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l="6841" t="21840" r="6181" b="24856"/>
        <a:stretch>
          <a:fillRect/>
        </a:stretch>
      </xdr:blipFill>
      <xdr:spPr bwMode="auto">
        <a:xfrm>
          <a:off x="4512608" y="507626"/>
          <a:ext cx="1401793" cy="1134035"/>
        </a:xfrm>
        <a:prstGeom prst="rect">
          <a:avLst/>
        </a:prstGeom>
        <a:noFill/>
      </xdr:spPr>
    </xdr:pic>
    <xdr:clientData/>
  </xdr:twoCellAnchor>
  <xdr:twoCellAnchor editAs="oneCell">
    <xdr:from>
      <xdr:col>8</xdr:col>
      <xdr:colOff>649952</xdr:colOff>
      <xdr:row>3</xdr:row>
      <xdr:rowOff>11206</xdr:rowOff>
    </xdr:from>
    <xdr:to>
      <xdr:col>10</xdr:col>
      <xdr:colOff>193003</xdr:colOff>
      <xdr:row>7</xdr:row>
      <xdr:rowOff>77206</xdr:rowOff>
    </xdr:to>
    <xdr:pic>
      <xdr:nvPicPr>
        <xdr:cNvPr id="12289" name="il_fi" descr="http://www.infociments.fr/images/qui-sommes-nous/organisations-professionnelles/atilh/atilh300-principale.jpg">
          <a:extLst>
            <a:ext uri="{FF2B5EF4-FFF2-40B4-BE49-F238E27FC236}">
              <a16:creationId xmlns:a16="http://schemas.microsoft.com/office/drawing/2014/main" id="{00000000-0008-0000-0000-0000013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66658" y="773206"/>
          <a:ext cx="1649757" cy="828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31</xdr:row>
      <xdr:rowOff>9525</xdr:rowOff>
    </xdr:from>
    <xdr:to>
      <xdr:col>2</xdr:col>
      <xdr:colOff>219076</xdr:colOff>
      <xdr:row>43</xdr:row>
      <xdr:rowOff>66675</xdr:rowOff>
    </xdr:to>
    <xdr:graphicFrame macro="">
      <xdr:nvGraphicFramePr>
        <xdr:cNvPr id="5" name="Graphique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400051</xdr:colOff>
      <xdr:row>31</xdr:row>
      <xdr:rowOff>38100</xdr:rowOff>
    </xdr:from>
    <xdr:to>
      <xdr:col>5</xdr:col>
      <xdr:colOff>708815</xdr:colOff>
      <xdr:row>43</xdr:row>
      <xdr:rowOff>114301</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714375</xdr:colOff>
      <xdr:row>0</xdr:row>
      <xdr:rowOff>9525</xdr:rowOff>
    </xdr:from>
    <xdr:to>
      <xdr:col>1</xdr:col>
      <xdr:colOff>1222375</xdr:colOff>
      <xdr:row>0</xdr:row>
      <xdr:rowOff>1228725</xdr:rowOff>
    </xdr:to>
    <xdr:pic>
      <xdr:nvPicPr>
        <xdr:cNvPr id="9230" name="il_fi" descr="http://www.symetris.fr/wp-content/uploads/Logo-CITEPA-pollution-atmosphere_Citepa2.png">
          <a:extLst>
            <a:ext uri="{FF2B5EF4-FFF2-40B4-BE49-F238E27FC236}">
              <a16:creationId xmlns:a16="http://schemas.microsoft.com/office/drawing/2014/main" id="{00000000-0008-0000-0100-00000E2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4375" y="9525"/>
          <a:ext cx="1219200" cy="1219200"/>
        </a:xfrm>
        <a:prstGeom prst="rect">
          <a:avLst/>
        </a:prstGeom>
        <a:noFill/>
      </xdr:spPr>
    </xdr:pic>
    <xdr:clientData/>
  </xdr:twoCellAnchor>
  <xdr:twoCellAnchor editAs="oneCell">
    <xdr:from>
      <xdr:col>1</xdr:col>
      <xdr:colOff>1380067</xdr:colOff>
      <xdr:row>0</xdr:row>
      <xdr:rowOff>171450</xdr:rowOff>
    </xdr:from>
    <xdr:to>
      <xdr:col>1</xdr:col>
      <xdr:colOff>2781860</xdr:colOff>
      <xdr:row>0</xdr:row>
      <xdr:rowOff>1305485</xdr:rowOff>
    </xdr:to>
    <xdr:pic>
      <xdr:nvPicPr>
        <xdr:cNvPr id="6" name="il_fi" descr="http://www.semardel.fr/wp-content/uploads/2011/01/Logo-UNICEM.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cstate="print"/>
        <a:srcRect l="6841" t="21840" r="6181" b="24856"/>
        <a:stretch>
          <a:fillRect/>
        </a:stretch>
      </xdr:blipFill>
      <xdr:spPr bwMode="auto">
        <a:xfrm>
          <a:off x="2142067" y="171450"/>
          <a:ext cx="1401793" cy="1134035"/>
        </a:xfrm>
        <a:prstGeom prst="rect">
          <a:avLst/>
        </a:prstGeom>
        <a:noFill/>
      </xdr:spPr>
    </xdr:pic>
    <xdr:clientData/>
  </xdr:twoCellAnchor>
  <xdr:twoCellAnchor editAs="oneCell">
    <xdr:from>
      <xdr:col>1</xdr:col>
      <xdr:colOff>3126863</xdr:colOff>
      <xdr:row>0</xdr:row>
      <xdr:rowOff>324971</xdr:rowOff>
    </xdr:from>
    <xdr:to>
      <xdr:col>1</xdr:col>
      <xdr:colOff>4888256</xdr:colOff>
      <xdr:row>0</xdr:row>
      <xdr:rowOff>1209000</xdr:rowOff>
    </xdr:to>
    <xdr:pic>
      <xdr:nvPicPr>
        <xdr:cNvPr id="8" name="il_fi" descr="http://www.infociments.fr/images/qui-sommes-nous/organisations-professionnelles/atilh/atilh300-principale.jp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530275" y="324971"/>
          <a:ext cx="1761393" cy="884029"/>
        </a:xfrm>
        <a:prstGeom prst="rect">
          <a:avLst/>
        </a:prstGeom>
        <a:noFill/>
      </xdr:spPr>
    </xdr:pic>
    <xdr:clientData/>
  </xdr:twoCellAnchor>
  <xdr:twoCellAnchor>
    <xdr:from>
      <xdr:col>7</xdr:col>
      <xdr:colOff>152092</xdr:colOff>
      <xdr:row>30</xdr:row>
      <xdr:rowOff>190500</xdr:rowOff>
    </xdr:from>
    <xdr:to>
      <xdr:col>8</xdr:col>
      <xdr:colOff>1802266</xdr:colOff>
      <xdr:row>43</xdr:row>
      <xdr:rowOff>48986</xdr:rowOff>
    </xdr:to>
    <xdr:graphicFrame macro="">
      <xdr:nvGraphicFramePr>
        <xdr:cNvPr id="9" name="Graphique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956149</xdr:colOff>
      <xdr:row>30</xdr:row>
      <xdr:rowOff>190500</xdr:rowOff>
    </xdr:from>
    <xdr:to>
      <xdr:col>10</xdr:col>
      <xdr:colOff>4305979</xdr:colOff>
      <xdr:row>43</xdr:row>
      <xdr:rowOff>48986</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661146</xdr:colOff>
      <xdr:row>0</xdr:row>
      <xdr:rowOff>0</xdr:rowOff>
    </xdr:from>
    <xdr:to>
      <xdr:col>1</xdr:col>
      <xdr:colOff>1295399</xdr:colOff>
      <xdr:row>0</xdr:row>
      <xdr:rowOff>1295400</xdr:rowOff>
    </xdr:to>
    <xdr:pic>
      <xdr:nvPicPr>
        <xdr:cNvPr id="3" name="il_fi" descr="http://www.symetris.fr/wp-content/uploads/Logo-CITEPA-pollution-atmosphere_Citepa2.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146" y="0"/>
          <a:ext cx="1295400" cy="1295400"/>
        </a:xfrm>
        <a:prstGeom prst="rect">
          <a:avLst/>
        </a:prstGeom>
        <a:noFill/>
      </xdr:spPr>
    </xdr:pic>
    <xdr:clientData/>
  </xdr:twoCellAnchor>
  <xdr:twoCellAnchor editAs="oneCell">
    <xdr:from>
      <xdr:col>2</xdr:col>
      <xdr:colOff>50427</xdr:colOff>
      <xdr:row>0</xdr:row>
      <xdr:rowOff>179294</xdr:rowOff>
    </xdr:from>
    <xdr:to>
      <xdr:col>2</xdr:col>
      <xdr:colOff>1546412</xdr:colOff>
      <xdr:row>1</xdr:row>
      <xdr:rowOff>89647</xdr:rowOff>
    </xdr:to>
    <xdr:pic>
      <xdr:nvPicPr>
        <xdr:cNvPr id="14338" name="il_fi" descr="http://www.semardel.fr/wp-content/uploads/2011/01/Logo-UNICEM.jpg">
          <a:extLst>
            <a:ext uri="{FF2B5EF4-FFF2-40B4-BE49-F238E27FC236}">
              <a16:creationId xmlns:a16="http://schemas.microsoft.com/office/drawing/2014/main" id="{00000000-0008-0000-0200-000002380000}"/>
            </a:ext>
          </a:extLst>
        </xdr:cNvPr>
        <xdr:cNvPicPr>
          <a:picLocks noChangeAspect="1" noChangeArrowheads="1"/>
        </xdr:cNvPicPr>
      </xdr:nvPicPr>
      <xdr:blipFill>
        <a:blip xmlns:r="http://schemas.openxmlformats.org/officeDocument/2006/relationships" r:embed="rId2" cstate="print"/>
        <a:srcRect l="6841" t="21840" r="6181" b="24856"/>
        <a:stretch>
          <a:fillRect/>
        </a:stretch>
      </xdr:blipFill>
      <xdr:spPr bwMode="auto">
        <a:xfrm>
          <a:off x="2201956" y="179294"/>
          <a:ext cx="1495985" cy="1210235"/>
        </a:xfrm>
        <a:prstGeom prst="rect">
          <a:avLst/>
        </a:prstGeom>
        <a:noFill/>
      </xdr:spPr>
    </xdr:pic>
    <xdr:clientData/>
  </xdr:twoCellAnchor>
  <xdr:twoCellAnchor editAs="oneCell">
    <xdr:from>
      <xdr:col>3</xdr:col>
      <xdr:colOff>19050</xdr:colOff>
      <xdr:row>0</xdr:row>
      <xdr:rowOff>447675</xdr:rowOff>
    </xdr:from>
    <xdr:to>
      <xdr:col>3</xdr:col>
      <xdr:colOff>1780443</xdr:colOff>
      <xdr:row>1</xdr:row>
      <xdr:rowOff>26779</xdr:rowOff>
    </xdr:to>
    <xdr:pic>
      <xdr:nvPicPr>
        <xdr:cNvPr id="4" name="il_fi" descr="http://www.infociments.fr/images/qui-sommes-nous/organisations-professionnelles/atilh/atilh300-principale.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600450" y="447675"/>
          <a:ext cx="1761393" cy="884029"/>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693964</xdr:colOff>
      <xdr:row>0</xdr:row>
      <xdr:rowOff>54428</xdr:rowOff>
    </xdr:from>
    <xdr:to>
      <xdr:col>1</xdr:col>
      <xdr:colOff>1296760</xdr:colOff>
      <xdr:row>1</xdr:row>
      <xdr:rowOff>1172935</xdr:rowOff>
    </xdr:to>
    <xdr:pic>
      <xdr:nvPicPr>
        <xdr:cNvPr id="5" name="il_fi" descr="http://www.symetris.fr/wp-content/uploads/Logo-CITEPA-pollution-atmosphere_Citepa2.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3964" y="54428"/>
          <a:ext cx="1295400" cy="1295400"/>
        </a:xfrm>
        <a:prstGeom prst="rect">
          <a:avLst/>
        </a:prstGeom>
        <a:noFill/>
      </xdr:spPr>
    </xdr:pic>
    <xdr:clientData/>
  </xdr:twoCellAnchor>
  <xdr:twoCellAnchor editAs="oneCell">
    <xdr:from>
      <xdr:col>1</xdr:col>
      <xdr:colOff>1469571</xdr:colOff>
      <xdr:row>1</xdr:row>
      <xdr:rowOff>40821</xdr:rowOff>
    </xdr:from>
    <xdr:to>
      <xdr:col>1</xdr:col>
      <xdr:colOff>2965556</xdr:colOff>
      <xdr:row>2</xdr:row>
      <xdr:rowOff>67235</xdr:rowOff>
    </xdr:to>
    <xdr:pic>
      <xdr:nvPicPr>
        <xdr:cNvPr id="6" name="il_fi" descr="http://www.semardel.fr/wp-content/uploads/2011/01/Logo-UNICEM.jpg">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l="6841" t="21840" r="6181" b="24856"/>
        <a:stretch>
          <a:fillRect/>
        </a:stretch>
      </xdr:blipFill>
      <xdr:spPr bwMode="auto">
        <a:xfrm>
          <a:off x="2231571" y="217714"/>
          <a:ext cx="1495985" cy="1210235"/>
        </a:xfrm>
        <a:prstGeom prst="rect">
          <a:avLst/>
        </a:prstGeom>
        <a:noFill/>
      </xdr:spPr>
    </xdr:pic>
    <xdr:clientData/>
  </xdr:twoCellAnchor>
  <xdr:twoCellAnchor editAs="oneCell">
    <xdr:from>
      <xdr:col>1</xdr:col>
      <xdr:colOff>3252107</xdr:colOff>
      <xdr:row>1</xdr:row>
      <xdr:rowOff>258535</xdr:rowOff>
    </xdr:from>
    <xdr:to>
      <xdr:col>2</xdr:col>
      <xdr:colOff>740858</xdr:colOff>
      <xdr:row>1</xdr:row>
      <xdr:rowOff>1142564</xdr:rowOff>
    </xdr:to>
    <xdr:pic>
      <xdr:nvPicPr>
        <xdr:cNvPr id="7" name="il_fi" descr="http://www.infociments.fr/images/qui-sommes-nous/organisations-professionnelles/atilh/atilh300-principale.jpg">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687536" y="435428"/>
          <a:ext cx="1761393" cy="884029"/>
        </a:xfrm>
        <a:prstGeom prst="rect">
          <a:avLst/>
        </a:prstGeom>
        <a:noFill/>
      </xdr:spPr>
    </xdr:pic>
    <xdr:clientData/>
  </xdr:twoCellAnchor>
  <xdr:twoCellAnchor>
    <xdr:from>
      <xdr:col>1</xdr:col>
      <xdr:colOff>125865</xdr:colOff>
      <xdr:row>23</xdr:row>
      <xdr:rowOff>110558</xdr:rowOff>
    </xdr:from>
    <xdr:to>
      <xdr:col>2</xdr:col>
      <xdr:colOff>494959</xdr:colOff>
      <xdr:row>25</xdr:row>
      <xdr:rowOff>265339</xdr:rowOff>
    </xdr:to>
    <xdr:grpSp>
      <xdr:nvGrpSpPr>
        <xdr:cNvPr id="3" name="Groupe 2">
          <a:extLst>
            <a:ext uri="{FF2B5EF4-FFF2-40B4-BE49-F238E27FC236}">
              <a16:creationId xmlns:a16="http://schemas.microsoft.com/office/drawing/2014/main" id="{F7DBA547-000A-4C4B-9453-525A76CAFCF1}"/>
            </a:ext>
          </a:extLst>
        </xdr:cNvPr>
        <xdr:cNvGrpSpPr/>
      </xdr:nvGrpSpPr>
      <xdr:grpSpPr>
        <a:xfrm>
          <a:off x="561294" y="8519772"/>
          <a:ext cx="4641736" cy="862353"/>
          <a:chOff x="761999" y="8405812"/>
          <a:chExt cx="4643438" cy="869156"/>
        </a:xfrm>
      </xdr:grpSpPr>
      <xdr:pic>
        <xdr:nvPicPr>
          <xdr:cNvPr id="21506" name="Picture 2">
            <a:extLst>
              <a:ext uri="{FF2B5EF4-FFF2-40B4-BE49-F238E27FC236}">
                <a16:creationId xmlns:a16="http://schemas.microsoft.com/office/drawing/2014/main" id="{00000000-0008-0000-0300-0000025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0" y="8524875"/>
            <a:ext cx="4464844" cy="647700"/>
          </a:xfrm>
          <a:prstGeom prst="rect">
            <a:avLst/>
          </a:prstGeom>
          <a:noFill/>
          <a:ln w="1">
            <a:noFill/>
            <a:miter lim="800000"/>
            <a:headEnd/>
            <a:tailEnd type="none" w="med" len="med"/>
          </a:ln>
          <a:effectLst/>
        </xdr:spPr>
      </xdr:pic>
      <xdr:sp macro="" textlink="">
        <xdr:nvSpPr>
          <xdr:cNvPr id="2" name="Rectangle 1">
            <a:extLst>
              <a:ext uri="{FF2B5EF4-FFF2-40B4-BE49-F238E27FC236}">
                <a16:creationId xmlns:a16="http://schemas.microsoft.com/office/drawing/2014/main" id="{16752808-E433-406B-B86A-91B1B14A0513}"/>
              </a:ext>
            </a:extLst>
          </xdr:cNvPr>
          <xdr:cNvSpPr/>
        </xdr:nvSpPr>
        <xdr:spPr>
          <a:xfrm>
            <a:off x="761999" y="8405812"/>
            <a:ext cx="4643438" cy="869156"/>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GB" sz="1100"/>
          </a:p>
        </xdr:txBody>
      </xdr:sp>
    </xdr:grpSp>
    <xdr:clientData/>
  </xdr:twoCellAnchor>
  <xdr:twoCellAnchor>
    <xdr:from>
      <xdr:col>1</xdr:col>
      <xdr:colOff>11907</xdr:colOff>
      <xdr:row>27</xdr:row>
      <xdr:rowOff>92868</xdr:rowOff>
    </xdr:from>
    <xdr:to>
      <xdr:col>2</xdr:col>
      <xdr:colOff>533399</xdr:colOff>
      <xdr:row>29</xdr:row>
      <xdr:rowOff>247649</xdr:rowOff>
    </xdr:to>
    <xdr:grpSp>
      <xdr:nvGrpSpPr>
        <xdr:cNvPr id="4" name="Groupe 3">
          <a:extLst>
            <a:ext uri="{FF2B5EF4-FFF2-40B4-BE49-F238E27FC236}">
              <a16:creationId xmlns:a16="http://schemas.microsoft.com/office/drawing/2014/main" id="{A6A69CCE-08CC-4830-A4E8-7E42D8FA6D88}"/>
            </a:ext>
          </a:extLst>
        </xdr:cNvPr>
        <xdr:cNvGrpSpPr/>
      </xdr:nvGrpSpPr>
      <xdr:grpSpPr>
        <a:xfrm>
          <a:off x="447336" y="9835582"/>
          <a:ext cx="4794134" cy="889567"/>
          <a:chOff x="238125" y="9665493"/>
          <a:chExt cx="4795836" cy="869156"/>
        </a:xfrm>
      </xdr:grpSpPr>
      <xdr:pic>
        <xdr:nvPicPr>
          <xdr:cNvPr id="21505" name="Picture 1">
            <a:extLst>
              <a:ext uri="{FF2B5EF4-FFF2-40B4-BE49-F238E27FC236}">
                <a16:creationId xmlns:a16="http://schemas.microsoft.com/office/drawing/2014/main" id="{00000000-0008-0000-0300-0000015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238125" y="9775031"/>
            <a:ext cx="4779169" cy="666750"/>
          </a:xfrm>
          <a:prstGeom prst="rect">
            <a:avLst/>
          </a:prstGeom>
          <a:noFill/>
          <a:ln w="1">
            <a:noFill/>
            <a:miter lim="800000"/>
            <a:headEnd/>
            <a:tailEnd type="none" w="med" len="med"/>
          </a:ln>
          <a:effectLst/>
        </xdr:spPr>
      </xdr:pic>
      <xdr:sp macro="" textlink="">
        <xdr:nvSpPr>
          <xdr:cNvPr id="9" name="Rectangle 8">
            <a:extLst>
              <a:ext uri="{FF2B5EF4-FFF2-40B4-BE49-F238E27FC236}">
                <a16:creationId xmlns:a16="http://schemas.microsoft.com/office/drawing/2014/main" id="{5935E577-A81E-4EA8-8E7A-5C0CB1F93E35}"/>
              </a:ext>
            </a:extLst>
          </xdr:cNvPr>
          <xdr:cNvSpPr/>
        </xdr:nvSpPr>
        <xdr:spPr>
          <a:xfrm>
            <a:off x="390523" y="9665493"/>
            <a:ext cx="4643438" cy="869156"/>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GB"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353774</xdr:colOff>
      <xdr:row>26</xdr:row>
      <xdr:rowOff>285746</xdr:rowOff>
    </xdr:from>
    <xdr:to>
      <xdr:col>11</xdr:col>
      <xdr:colOff>1380623</xdr:colOff>
      <xdr:row>30</xdr:row>
      <xdr:rowOff>1883</xdr:rowOff>
    </xdr:to>
    <xdr:pic>
      <xdr:nvPicPr>
        <xdr:cNvPr id="12289" name="Picture 1">
          <a:extLst>
            <a:ext uri="{FF2B5EF4-FFF2-40B4-BE49-F238E27FC236}">
              <a16:creationId xmlns:a16="http://schemas.microsoft.com/office/drawing/2014/main" id="{00000000-0008-0000-0400-000001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74" y="6368139"/>
          <a:ext cx="13418955" cy="1548000"/>
        </a:xfrm>
        <a:prstGeom prst="rect">
          <a:avLst/>
        </a:prstGeom>
        <a:noFill/>
      </xdr:spPr>
    </xdr:pic>
    <xdr:clientData/>
  </xdr:twoCellAnchor>
  <xdr:twoCellAnchor editAs="oneCell">
    <xdr:from>
      <xdr:col>1</xdr:col>
      <xdr:colOff>68035</xdr:colOff>
      <xdr:row>0</xdr:row>
      <xdr:rowOff>68035</xdr:rowOff>
    </xdr:from>
    <xdr:to>
      <xdr:col>2</xdr:col>
      <xdr:colOff>16328</xdr:colOff>
      <xdr:row>1</xdr:row>
      <xdr:rowOff>2721</xdr:rowOff>
    </xdr:to>
    <xdr:pic>
      <xdr:nvPicPr>
        <xdr:cNvPr id="4" name="il_fi" descr="http://www.symetris.fr/wp-content/uploads/Logo-CITEPA-pollution-atmosphere_Citepa2.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1821" y="68035"/>
          <a:ext cx="1295400" cy="1295400"/>
        </a:xfrm>
        <a:prstGeom prst="rect">
          <a:avLst/>
        </a:prstGeom>
        <a:noFill/>
      </xdr:spPr>
    </xdr:pic>
    <xdr:clientData/>
  </xdr:twoCellAnchor>
  <xdr:twoCellAnchor editAs="oneCell">
    <xdr:from>
      <xdr:col>2</xdr:col>
      <xdr:colOff>680357</xdr:colOff>
      <xdr:row>0</xdr:row>
      <xdr:rowOff>217715</xdr:rowOff>
    </xdr:from>
    <xdr:to>
      <xdr:col>4</xdr:col>
      <xdr:colOff>135271</xdr:colOff>
      <xdr:row>1</xdr:row>
      <xdr:rowOff>67236</xdr:rowOff>
    </xdr:to>
    <xdr:pic>
      <xdr:nvPicPr>
        <xdr:cNvPr id="5" name="il_fi" descr="http://www.semardel.fr/wp-content/uploads/2011/01/Logo-UNICEM.jp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srcRect l="6841" t="21840" r="6181" b="24856"/>
        <a:stretch>
          <a:fillRect/>
        </a:stretch>
      </xdr:blipFill>
      <xdr:spPr bwMode="auto">
        <a:xfrm>
          <a:off x="2041071" y="217715"/>
          <a:ext cx="1495985" cy="1210235"/>
        </a:xfrm>
        <a:prstGeom prst="rect">
          <a:avLst/>
        </a:prstGeom>
        <a:noFill/>
      </xdr:spPr>
    </xdr:pic>
    <xdr:clientData/>
  </xdr:twoCellAnchor>
  <xdr:twoCellAnchor editAs="oneCell">
    <xdr:from>
      <xdr:col>4</xdr:col>
      <xdr:colOff>526677</xdr:colOff>
      <xdr:row>0</xdr:row>
      <xdr:rowOff>481853</xdr:rowOff>
    </xdr:from>
    <xdr:to>
      <xdr:col>6</xdr:col>
      <xdr:colOff>696835</xdr:colOff>
      <xdr:row>1</xdr:row>
      <xdr:rowOff>8569</xdr:rowOff>
    </xdr:to>
    <xdr:pic>
      <xdr:nvPicPr>
        <xdr:cNvPr id="6" name="il_fi" descr="http://www.infociments.fr/images/qui-sommes-nous/organisations-professionnelles/atilh/atilh300-principale.jp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258236" y="481853"/>
          <a:ext cx="1761393" cy="884029"/>
        </a:xfrm>
        <a:prstGeom prst="rect">
          <a:avLst/>
        </a:prstGeom>
        <a:noFill/>
      </xdr:spPr>
    </xdr:pic>
    <xdr:clientData/>
  </xdr:twoCellAnchor>
  <xdr:twoCellAnchor editAs="oneCell">
    <xdr:from>
      <xdr:col>1</xdr:col>
      <xdr:colOff>0</xdr:colOff>
      <xdr:row>93</xdr:row>
      <xdr:rowOff>0</xdr:rowOff>
    </xdr:from>
    <xdr:to>
      <xdr:col>8</xdr:col>
      <xdr:colOff>2039471</xdr:colOff>
      <xdr:row>100</xdr:row>
      <xdr:rowOff>178096</xdr:rowOff>
    </xdr:to>
    <xdr:pic>
      <xdr:nvPicPr>
        <xdr:cNvPr id="13315" name="Picture 3">
          <a:extLst>
            <a:ext uri="{FF2B5EF4-FFF2-40B4-BE49-F238E27FC236}">
              <a16:creationId xmlns:a16="http://schemas.microsoft.com/office/drawing/2014/main" id="{00000000-0008-0000-0400-0000033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7382" y="30569647"/>
          <a:ext cx="10343030" cy="1511596"/>
        </a:xfrm>
        <a:prstGeom prst="rect">
          <a:avLst/>
        </a:prstGeom>
        <a:noFill/>
        <a:ln w="1">
          <a:noFill/>
          <a:miter lim="800000"/>
          <a:headEnd/>
          <a:tailEnd type="none" w="med" len="med"/>
        </a:ln>
        <a:effectLst/>
      </xdr:spPr>
    </xdr:pic>
    <xdr:clientData/>
  </xdr:twoCellAnchor>
  <xdr:twoCellAnchor editAs="oneCell">
    <xdr:from>
      <xdr:col>1</xdr:col>
      <xdr:colOff>0</xdr:colOff>
      <xdr:row>109</xdr:row>
      <xdr:rowOff>0</xdr:rowOff>
    </xdr:from>
    <xdr:to>
      <xdr:col>8</xdr:col>
      <xdr:colOff>1905000</xdr:colOff>
      <xdr:row>117</xdr:row>
      <xdr:rowOff>93570</xdr:rowOff>
    </xdr:to>
    <xdr:pic>
      <xdr:nvPicPr>
        <xdr:cNvPr id="13316" name="Picture 4">
          <a:extLst>
            <a:ext uri="{FF2B5EF4-FFF2-40B4-BE49-F238E27FC236}">
              <a16:creationId xmlns:a16="http://schemas.microsoft.com/office/drawing/2014/main" id="{00000000-0008-0000-0400-0000043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52425" y="33880425"/>
          <a:ext cx="10191750" cy="1666875"/>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27214</xdr:colOff>
      <xdr:row>0</xdr:row>
      <xdr:rowOff>68035</xdr:rowOff>
    </xdr:from>
    <xdr:to>
      <xdr:col>1</xdr:col>
      <xdr:colOff>1322614</xdr:colOff>
      <xdr:row>1</xdr:row>
      <xdr:rowOff>1172935</xdr:rowOff>
    </xdr:to>
    <xdr:pic>
      <xdr:nvPicPr>
        <xdr:cNvPr id="6" name="il_fi" descr="http://www.symetris.fr/wp-content/uploads/Logo-CITEPA-pollution-atmosphere_Citepa2.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9214" y="68035"/>
          <a:ext cx="1295400" cy="1295400"/>
        </a:xfrm>
        <a:prstGeom prst="rect">
          <a:avLst/>
        </a:prstGeom>
        <a:noFill/>
      </xdr:spPr>
    </xdr:pic>
    <xdr:clientData/>
  </xdr:twoCellAnchor>
  <xdr:twoCellAnchor editAs="oneCell">
    <xdr:from>
      <xdr:col>1</xdr:col>
      <xdr:colOff>1605642</xdr:colOff>
      <xdr:row>1</xdr:row>
      <xdr:rowOff>40821</xdr:rowOff>
    </xdr:from>
    <xdr:to>
      <xdr:col>1</xdr:col>
      <xdr:colOff>3101627</xdr:colOff>
      <xdr:row>1</xdr:row>
      <xdr:rowOff>1251056</xdr:rowOff>
    </xdr:to>
    <xdr:pic>
      <xdr:nvPicPr>
        <xdr:cNvPr id="7" name="il_fi" descr="http://www.semardel.fr/wp-content/uploads/2011/01/Logo-UNICEM.jp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l="6841" t="21840" r="6181" b="24856"/>
        <a:stretch>
          <a:fillRect/>
        </a:stretch>
      </xdr:blipFill>
      <xdr:spPr bwMode="auto">
        <a:xfrm>
          <a:off x="2367642" y="231321"/>
          <a:ext cx="1495985" cy="1210235"/>
        </a:xfrm>
        <a:prstGeom prst="rect">
          <a:avLst/>
        </a:prstGeom>
        <a:noFill/>
      </xdr:spPr>
    </xdr:pic>
    <xdr:clientData/>
  </xdr:twoCellAnchor>
  <xdr:twoCellAnchor editAs="oneCell">
    <xdr:from>
      <xdr:col>1</xdr:col>
      <xdr:colOff>3395382</xdr:colOff>
      <xdr:row>1</xdr:row>
      <xdr:rowOff>291354</xdr:rowOff>
    </xdr:from>
    <xdr:to>
      <xdr:col>2</xdr:col>
      <xdr:colOff>427893</xdr:colOff>
      <xdr:row>1</xdr:row>
      <xdr:rowOff>1175383</xdr:rowOff>
    </xdr:to>
    <xdr:pic>
      <xdr:nvPicPr>
        <xdr:cNvPr id="8" name="il_fi" descr="http://www.infociments.fr/images/qui-sommes-nous/organisations-professionnelles/atilh/atilh300-principale.jp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810000" y="481854"/>
          <a:ext cx="1761393" cy="884029"/>
        </a:xfrm>
        <a:prstGeom prst="rect">
          <a:avLst/>
        </a:prstGeom>
        <a:noFill/>
      </xdr:spPr>
    </xdr:pic>
    <xdr:clientData/>
  </xdr:twoCellAnchor>
  <xdr:twoCellAnchor>
    <xdr:from>
      <xdr:col>1</xdr:col>
      <xdr:colOff>314325</xdr:colOff>
      <xdr:row>22</xdr:row>
      <xdr:rowOff>114300</xdr:rowOff>
    </xdr:from>
    <xdr:to>
      <xdr:col>4</xdr:col>
      <xdr:colOff>873306</xdr:colOff>
      <xdr:row>28</xdr:row>
      <xdr:rowOff>66675</xdr:rowOff>
    </xdr:to>
    <xdr:grpSp>
      <xdr:nvGrpSpPr>
        <xdr:cNvPr id="3" name="Groupe 2">
          <a:extLst>
            <a:ext uri="{FF2B5EF4-FFF2-40B4-BE49-F238E27FC236}">
              <a16:creationId xmlns:a16="http://schemas.microsoft.com/office/drawing/2014/main" id="{B80F8DDB-B2CE-4C4C-8347-F3EB6020621F}"/>
            </a:ext>
          </a:extLst>
        </xdr:cNvPr>
        <xdr:cNvGrpSpPr/>
      </xdr:nvGrpSpPr>
      <xdr:grpSpPr>
        <a:xfrm>
          <a:off x="722539" y="7407729"/>
          <a:ext cx="13880374" cy="1095375"/>
          <a:chOff x="723900" y="7391400"/>
          <a:chExt cx="13379631" cy="1095375"/>
        </a:xfrm>
      </xdr:grpSpPr>
      <xdr:sp macro="" textlink="">
        <xdr:nvSpPr>
          <xdr:cNvPr id="2" name="Rectangle 1">
            <a:extLst>
              <a:ext uri="{FF2B5EF4-FFF2-40B4-BE49-F238E27FC236}">
                <a16:creationId xmlns:a16="http://schemas.microsoft.com/office/drawing/2014/main" id="{B67188EC-4E9A-4B0E-9A5D-AFDF1C9B62CD}"/>
              </a:ext>
            </a:extLst>
          </xdr:cNvPr>
          <xdr:cNvSpPr/>
        </xdr:nvSpPr>
        <xdr:spPr>
          <a:xfrm>
            <a:off x="723900" y="7391400"/>
            <a:ext cx="11706225" cy="10953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mc:AlternateContent xmlns:mc="http://schemas.openxmlformats.org/markup-compatibility/2006" xmlns:a14="http://schemas.microsoft.com/office/drawing/2010/main">
        <mc:Choice Requires="a14">
          <xdr:sp macro="" textlink="">
            <xdr:nvSpPr>
              <xdr:cNvPr id="9" name="ZoneTexte 12">
                <a:extLst>
                  <a:ext uri="{FF2B5EF4-FFF2-40B4-BE49-F238E27FC236}">
                    <a16:creationId xmlns:a16="http://schemas.microsoft.com/office/drawing/2014/main" id="{00000000-0008-0000-0500-000009000000}"/>
                  </a:ext>
                </a:extLst>
              </xdr:cNvPr>
              <xdr:cNvSpPr txBox="1"/>
            </xdr:nvSpPr>
            <xdr:spPr>
              <a:xfrm>
                <a:off x="1047750" y="7448550"/>
                <a:ext cx="13036731" cy="384785"/>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14:m>
                  <m:oMath xmlns:m="http://schemas.openxmlformats.org/officeDocument/2006/math">
                    <m:sSub>
                      <m:sSubPr>
                        <m:ctrlPr>
                          <a:rPr lang="fr-FR"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𝑬</m:t>
                        </m:r>
                      </m:e>
                      <m:sub>
                        <m:r>
                          <a:rPr lang="fr-FR" sz="1400" b="1" i="1">
                            <a:solidFill>
                              <a:sysClr val="windowText" lastClr="000000"/>
                            </a:solidFill>
                            <a:latin typeface="Cambria Math" panose="02040503050406030204" pitchFamily="18" charset="0"/>
                            <a:ea typeface="Cambria Math" panose="02040503050406030204" pitchFamily="18" charset="0"/>
                          </a:rPr>
                          <m:t>𝑻𝑺𝑷</m:t>
                        </m:r>
                      </m:sub>
                    </m:sSub>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𝟑𝟖𝟏</m:t>
                    </m:r>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fr-FR" sz="1400" b="1" i="1">
                            <a:solidFill>
                              <a:sysClr val="windowText" lastClr="000000"/>
                            </a:solidFill>
                            <a:latin typeface="Cambria Math" panose="02040503050406030204" pitchFamily="18" charset="0"/>
                            <a:ea typeface="Cambria Math" panose="02040503050406030204" pitchFamily="18" charset="0"/>
                          </a:rPr>
                        </m:ctrlPr>
                      </m:sSupPr>
                      <m:e>
                        <m:d>
                          <m:dPr>
                            <m:ctrlPr>
                              <a:rPr lang="fr-FR" sz="1400" b="1" i="1">
                                <a:solidFill>
                                  <a:sysClr val="windowText" lastClr="000000"/>
                                </a:solidFill>
                                <a:latin typeface="Cambria Math" panose="02040503050406030204" pitchFamily="18" charset="0"/>
                                <a:ea typeface="Cambria Math" panose="02040503050406030204" pitchFamily="18" charset="0"/>
                              </a:rPr>
                            </m:ctrlPr>
                          </m:dPr>
                          <m:e>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𝒔</m:t>
                                </m:r>
                              </m:num>
                              <m:den>
                                <m:r>
                                  <a:rPr lang="fr-FR" sz="1400" b="1" i="1">
                                    <a:solidFill>
                                      <a:sysClr val="windowText" lastClr="000000"/>
                                    </a:solidFill>
                                    <a:latin typeface="Cambria Math" panose="02040503050406030204" pitchFamily="18" charset="0"/>
                                    <a:ea typeface="Cambria Math" panose="02040503050406030204" pitchFamily="18" charset="0"/>
                                  </a:rPr>
                                  <m:t>𝟏𝟐</m:t>
                                </m:r>
                              </m:den>
                            </m:f>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𝟕</m:t>
                        </m:r>
                      </m:sup>
                    </m:sSup>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fr-FR" sz="1400" b="1" i="1">
                            <a:solidFill>
                              <a:sysClr val="windowText" lastClr="000000"/>
                            </a:solidFill>
                            <a:latin typeface="Cambria Math" panose="02040503050406030204" pitchFamily="18" charset="0"/>
                            <a:ea typeface="Cambria Math" panose="02040503050406030204" pitchFamily="18" charset="0"/>
                          </a:rPr>
                        </m:ctrlPr>
                      </m:sSupPr>
                      <m:e>
                        <m:d>
                          <m:dPr>
                            <m:ctrlPr>
                              <a:rPr lang="fr-FR" sz="1400" b="1" i="1">
                                <a:solidFill>
                                  <a:sysClr val="windowText" lastClr="000000"/>
                                </a:solidFill>
                                <a:latin typeface="Cambria Math" panose="02040503050406030204" pitchFamily="18" charset="0"/>
                                <a:ea typeface="Cambria Math" panose="02040503050406030204" pitchFamily="18" charset="0"/>
                              </a:rPr>
                            </m:ctrlPr>
                          </m:dPr>
                          <m:e>
                            <m:f>
                              <m:fPr>
                                <m:ctrlPr>
                                  <a:rPr lang="fr-FR" sz="1400" b="1" i="1">
                                    <a:solidFill>
                                      <a:sysClr val="windowText" lastClr="000000"/>
                                    </a:solidFill>
                                    <a:latin typeface="Cambria Math" panose="02040503050406030204" pitchFamily="18" charset="0"/>
                                    <a:ea typeface="Cambria Math" panose="02040503050406030204" pitchFamily="18" charset="0"/>
                                  </a:rPr>
                                </m:ctrlPr>
                              </m:fPr>
                              <m:num>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𝑷</m:t>
                                    </m:r>
                                  </m:e>
                                  <m:sub>
                                    <m:r>
                                      <a:rPr lang="fr-FR" sz="1400" b="1" i="1">
                                        <a:solidFill>
                                          <a:sysClr val="windowText" lastClr="000000"/>
                                        </a:solidFill>
                                        <a:latin typeface="Cambria Math" panose="02040503050406030204" pitchFamily="18" charset="0"/>
                                        <a:ea typeface="Cambria Math" panose="02040503050406030204" pitchFamily="18" charset="0"/>
                                      </a:rPr>
                                      <m:t>𝒗</m:t>
                                    </m:r>
                                    <m:r>
                                      <a:rPr lang="fr-FR" sz="1400" b="1" i="1">
                                        <a:solidFill>
                                          <a:sysClr val="windowText" lastClr="000000"/>
                                        </a:solidFill>
                                        <a:latin typeface="Cambria Math" panose="02040503050406030204" pitchFamily="18" charset="0"/>
                                        <a:ea typeface="Cambria Math" panose="02040503050406030204" pitchFamily="18" charset="0"/>
                                      </a:rPr>
                                      <m:t>é</m:t>
                                    </m:r>
                                    <m:r>
                                      <a:rPr lang="fr-FR" sz="1400" b="1" i="1">
                                        <a:solidFill>
                                          <a:sysClr val="windowText" lastClr="000000"/>
                                        </a:solidFill>
                                        <a:latin typeface="Cambria Math" panose="02040503050406030204" pitchFamily="18" charset="0"/>
                                        <a:ea typeface="Cambria Math" panose="02040503050406030204" pitchFamily="18" charset="0"/>
                                      </a:rPr>
                                      <m:t>𝒉𝒊𝒄𝒖𝒍𝒆</m:t>
                                    </m:r>
                                  </m:sub>
                                </m:sSub>
                              </m:num>
                              <m:den>
                                <m:r>
                                  <a:rPr lang="fr-FR" sz="1400" b="1" i="1">
                                    <a:solidFill>
                                      <a:sysClr val="windowText" lastClr="000000"/>
                                    </a:solidFill>
                                    <a:latin typeface="Cambria Math" panose="02040503050406030204" pitchFamily="18" charset="0"/>
                                    <a:ea typeface="Cambria Math" panose="02040503050406030204" pitchFamily="18" charset="0"/>
                                  </a:rPr>
                                  <m:t>𝟐</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𝟕𝟐</m:t>
                                </m:r>
                              </m:den>
                            </m:f>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𝟒𝟓</m:t>
                        </m:r>
                      </m:sup>
                    </m:sSup>
                    <m:r>
                      <a:rPr lang="fr-FR" sz="1400" b="1" i="1">
                        <a:solidFill>
                          <a:sysClr val="windowText" lastClr="000000"/>
                        </a:solidFill>
                        <a:latin typeface="Cambria Math" panose="02040503050406030204" pitchFamily="18" charset="0"/>
                        <a:ea typeface="Cambria Math" panose="02040503050406030204" pitchFamily="18" charset="0"/>
                      </a:rPr>
                      <m:t>×</m:t>
                    </m:r>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𝒅</m:t>
                        </m:r>
                      </m:e>
                      <m:sub>
                        <m:r>
                          <a:rPr lang="fr-FR" sz="1400" b="1" i="1">
                            <a:solidFill>
                              <a:sysClr val="windowText" lastClr="000000"/>
                            </a:solidFill>
                            <a:latin typeface="Cambria Math" panose="02040503050406030204" pitchFamily="18" charset="0"/>
                            <a:ea typeface="Cambria Math" panose="02040503050406030204" pitchFamily="18" charset="0"/>
                          </a:rPr>
                          <m:t>𝒏𝒐𝒏</m:t>
                        </m:r>
                        <m:r>
                          <a:rPr lang="fr-FR" sz="1400" b="1" i="1">
                            <a:solidFill>
                              <a:sysClr val="windowText" lastClr="000000"/>
                            </a:solidFill>
                            <a:latin typeface="Cambria Math" panose="02040503050406030204" pitchFamily="18" charset="0"/>
                            <a:ea typeface="Cambria Math" panose="02040503050406030204" pitchFamily="18" charset="0"/>
                          </a:rPr>
                          <m:t> </m:t>
                        </m:r>
                        <m:r>
                          <a:rPr lang="fr-FR" sz="1400" b="1" i="1">
                            <a:solidFill>
                              <a:sysClr val="windowText" lastClr="000000"/>
                            </a:solidFill>
                            <a:latin typeface="Cambria Math" panose="02040503050406030204" pitchFamily="18" charset="0"/>
                            <a:ea typeface="Cambria Math" panose="02040503050406030204" pitchFamily="18" charset="0"/>
                          </a:rPr>
                          <m:t>𝒓𝒆𝒗</m:t>
                        </m:r>
                        <m:r>
                          <a:rPr lang="fr-FR" sz="1400" b="1" i="1">
                            <a:solidFill>
                              <a:sysClr val="windowText" lastClr="000000"/>
                            </a:solidFill>
                            <a:latin typeface="Cambria Math" panose="02040503050406030204" pitchFamily="18" charset="0"/>
                            <a:ea typeface="Cambria Math" panose="02040503050406030204" pitchFamily="18" charset="0"/>
                          </a:rPr>
                          <m:t>ê</m:t>
                        </m:r>
                        <m:r>
                          <a:rPr lang="fr-FR" sz="1400" b="1" i="1">
                            <a:solidFill>
                              <a:sysClr val="windowText" lastClr="000000"/>
                            </a:solidFill>
                            <a:latin typeface="Cambria Math" panose="02040503050406030204" pitchFamily="18" charset="0"/>
                            <a:ea typeface="Cambria Math" panose="02040503050406030204" pitchFamily="18" charset="0"/>
                          </a:rPr>
                          <m:t>𝒕𝒖𝒆</m:t>
                        </m:r>
                      </m:sub>
                    </m:sSub>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𝒑</m:t>
                            </m:r>
                          </m:num>
                          <m:den>
                            <m:r>
                              <a:rPr lang="fr-FR" sz="1400" b="1" i="1">
                                <a:solidFill>
                                  <a:sysClr val="windowText" lastClr="000000"/>
                                </a:solidFill>
                                <a:latin typeface="Cambria Math" panose="02040503050406030204" pitchFamily="18" charset="0"/>
                                <a:ea typeface="Cambria Math" panose="02040503050406030204" pitchFamily="18" charset="0"/>
                              </a:rPr>
                              <m:t>𝟑𝟔𝟓</m:t>
                            </m:r>
                          </m:den>
                        </m:f>
                      </m:e>
                    </m:d>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𝑬𝑹</m:t>
                        </m:r>
                      </m:e>
                    </m:d>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𝟑</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𝟐𝟑</m:t>
                    </m:r>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en-GB" sz="1400" b="1" i="1">
                            <a:solidFill>
                              <a:sysClr val="windowText" lastClr="000000"/>
                            </a:solidFill>
                            <a:latin typeface="Cambria Math" panose="02040503050406030204" pitchFamily="18" charset="0"/>
                            <a:ea typeface="Cambria Math" panose="02040503050406030204" pitchFamily="18" charset="0"/>
                          </a:rPr>
                        </m:ctrlPr>
                      </m:sSupPr>
                      <m:e>
                        <m:d>
                          <m:dPr>
                            <m:ctrlPr>
                              <a:rPr lang="en-GB"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𝒔𝑳</m:t>
                            </m:r>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𝟗𝟏</m:t>
                        </m:r>
                      </m:sup>
                    </m:sSup>
                    <m:r>
                      <a:rPr lang="en-GB" sz="1400" b="1" i="1">
                        <a:solidFill>
                          <a:sysClr val="windowText" lastClr="000000"/>
                        </a:solidFill>
                        <a:latin typeface="Cambria Math" panose="02040503050406030204" pitchFamily="18" charset="0"/>
                        <a:ea typeface="Cambria Math" panose="02040503050406030204" pitchFamily="18" charset="0"/>
                      </a:rPr>
                      <m:t>×</m:t>
                    </m:r>
                    <m:sSup>
                      <m:sSupPr>
                        <m:ctrlPr>
                          <a:rPr lang="en-GB" sz="1400" b="1" i="1">
                            <a:solidFill>
                              <a:sysClr val="windowText" lastClr="000000"/>
                            </a:solidFill>
                            <a:latin typeface="Cambria Math" panose="02040503050406030204" pitchFamily="18" charset="0"/>
                            <a:ea typeface="Cambria Math" panose="02040503050406030204" pitchFamily="18" charset="0"/>
                          </a:rPr>
                        </m:ctrlPr>
                      </m:sSupPr>
                      <m:e>
                        <m:d>
                          <m:dPr>
                            <m:ctrlPr>
                              <a:rPr lang="en-GB" sz="1400" b="1" i="1">
                                <a:solidFill>
                                  <a:sysClr val="windowText" lastClr="000000"/>
                                </a:solidFill>
                                <a:latin typeface="Cambria Math" panose="02040503050406030204" pitchFamily="18" charset="0"/>
                                <a:ea typeface="Cambria Math" panose="02040503050406030204" pitchFamily="18" charset="0"/>
                              </a:rPr>
                            </m:ctrlPr>
                          </m:dPr>
                          <m:e>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𝑷</m:t>
                                </m:r>
                              </m:e>
                              <m:sub>
                                <m:r>
                                  <a:rPr lang="fr-FR" sz="1400" b="1" i="1">
                                    <a:solidFill>
                                      <a:sysClr val="windowText" lastClr="000000"/>
                                    </a:solidFill>
                                    <a:latin typeface="Cambria Math" panose="02040503050406030204" pitchFamily="18" charset="0"/>
                                    <a:ea typeface="Cambria Math" panose="02040503050406030204" pitchFamily="18" charset="0"/>
                                  </a:rPr>
                                  <m:t>𝒗</m:t>
                                </m:r>
                                <m:r>
                                  <a:rPr lang="fr-FR" sz="1400" b="1" i="1">
                                    <a:solidFill>
                                      <a:sysClr val="windowText" lastClr="000000"/>
                                    </a:solidFill>
                                    <a:latin typeface="Cambria Math" panose="02040503050406030204" pitchFamily="18" charset="0"/>
                                    <a:ea typeface="Cambria Math" panose="02040503050406030204" pitchFamily="18" charset="0"/>
                                  </a:rPr>
                                  <m:t>é</m:t>
                                </m:r>
                                <m:r>
                                  <a:rPr lang="fr-FR" sz="1400" b="1" i="1">
                                    <a:solidFill>
                                      <a:sysClr val="windowText" lastClr="000000"/>
                                    </a:solidFill>
                                    <a:latin typeface="Cambria Math" panose="02040503050406030204" pitchFamily="18" charset="0"/>
                                    <a:ea typeface="Cambria Math" panose="02040503050406030204" pitchFamily="18" charset="0"/>
                                  </a:rPr>
                                  <m:t>𝒉𝒊𝒄𝒖𝒍𝒆</m:t>
                                </m:r>
                              </m:sub>
                            </m:sSub>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𝟏</m:t>
                            </m:r>
                          </m:e>
                        </m:d>
                      </m:e>
                      <m:sup>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𝟎𝟐</m:t>
                        </m:r>
                      </m:sup>
                    </m:sSup>
                    <m:r>
                      <a:rPr lang="en-GB" sz="1400" b="1" i="1">
                        <a:solidFill>
                          <a:sysClr val="windowText" lastClr="000000"/>
                        </a:solidFill>
                        <a:latin typeface="Cambria Math" panose="02040503050406030204" pitchFamily="18" charset="0"/>
                        <a:ea typeface="Cambria Math" panose="02040503050406030204" pitchFamily="18" charset="0"/>
                      </a:rPr>
                      <m:t>×</m:t>
                    </m:r>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𝒅</m:t>
                        </m:r>
                      </m:e>
                      <m:sub>
                        <m:r>
                          <a:rPr lang="fr-FR" sz="1400" b="1" i="1">
                            <a:solidFill>
                              <a:sysClr val="windowText" lastClr="000000"/>
                            </a:solidFill>
                            <a:latin typeface="Cambria Math" panose="02040503050406030204" pitchFamily="18" charset="0"/>
                            <a:ea typeface="Cambria Math" panose="02040503050406030204" pitchFamily="18" charset="0"/>
                          </a:rPr>
                          <m:t>𝒓𝒆𝒗</m:t>
                        </m:r>
                        <m:r>
                          <a:rPr lang="fr-FR" sz="1400" b="1" i="1">
                            <a:solidFill>
                              <a:sysClr val="windowText" lastClr="000000"/>
                            </a:solidFill>
                            <a:latin typeface="Cambria Math" panose="02040503050406030204" pitchFamily="18" charset="0"/>
                            <a:ea typeface="Cambria Math" panose="02040503050406030204" pitchFamily="18" charset="0"/>
                          </a:rPr>
                          <m:t>ê</m:t>
                        </m:r>
                        <m:r>
                          <a:rPr lang="fr-FR" sz="1400" b="1" i="1">
                            <a:solidFill>
                              <a:sysClr val="windowText" lastClr="000000"/>
                            </a:solidFill>
                            <a:latin typeface="Cambria Math" panose="02040503050406030204" pitchFamily="18" charset="0"/>
                            <a:ea typeface="Cambria Math" panose="02040503050406030204" pitchFamily="18" charset="0"/>
                          </a:rPr>
                          <m:t>𝒕𝒖𝒆</m:t>
                        </m:r>
                      </m:sub>
                    </m:sSub>
                  </m:oMath>
                </a14:m>
                <a:r>
                  <a:rPr lang="fr-FR" sz="1400" b="1">
                    <a:solidFill>
                      <a:sysClr val="windowText" lastClr="000000"/>
                    </a:solidFill>
                    <a:ea typeface="Cambria Math" panose="02040503050406030204" pitchFamily="18" charset="0"/>
                  </a:rPr>
                  <a:t> </a:t>
                </a:r>
                <a14:m>
                  <m:oMath xmlns:m="http://schemas.openxmlformats.org/officeDocument/2006/math">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𝒑</m:t>
                            </m:r>
                          </m:num>
                          <m:den>
                            <m:r>
                              <a:rPr lang="fr-FR" sz="1400" b="1" i="1">
                                <a:solidFill>
                                  <a:sysClr val="windowText" lastClr="000000"/>
                                </a:solidFill>
                                <a:latin typeface="Cambria Math" panose="02040503050406030204" pitchFamily="18" charset="0"/>
                                <a:ea typeface="Cambria Math" panose="02040503050406030204" pitchFamily="18" charset="0"/>
                              </a:rPr>
                              <m:t>𝟒</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𝟑𝟔𝟓</m:t>
                            </m:r>
                          </m:den>
                        </m:f>
                      </m:e>
                    </m:d>
                  </m:oMath>
                </a14:m>
                <a:endParaRPr lang="en-GB" sz="1400" b="1">
                  <a:solidFill>
                    <a:sysClr val="windowText" lastClr="000000"/>
                  </a:solidFill>
                </a:endParaRPr>
              </a:p>
            </xdr:txBody>
          </xdr:sp>
        </mc:Choice>
        <mc:Fallback xmlns="">
          <xdr:sp macro="" textlink="">
            <xdr:nvSpPr>
              <xdr:cNvPr id="9" name="ZoneTexte 12">
                <a:extLst>
                  <a:ext uri="{FF2B5EF4-FFF2-40B4-BE49-F238E27FC236}">
                    <a16:creationId xmlns:a16="http://schemas.microsoft.com/office/drawing/2014/main" id="{00000000-0008-0000-0500-000009000000}"/>
                  </a:ext>
                </a:extLst>
              </xdr:cNvPr>
              <xdr:cNvSpPr txBox="1"/>
            </xdr:nvSpPr>
            <xdr:spPr>
              <a:xfrm>
                <a:off x="1047750" y="7448550"/>
                <a:ext cx="13036731" cy="384785"/>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400" b="1" i="0">
                    <a:solidFill>
                      <a:sysClr val="windowText" lastClr="000000"/>
                    </a:solidFill>
                    <a:latin typeface="Cambria Math" panose="02040503050406030204" pitchFamily="18" charset="0"/>
                    <a:ea typeface="Cambria Math" panose="02040503050406030204" pitchFamily="18" charset="0"/>
                  </a:rPr>
                  <a:t>𝑬_𝑻𝑺𝑷=𝟏,𝟑𝟖𝟏×(𝒔/𝟏𝟐)^(𝟎,𝟕)×(𝑷</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𝒗é𝒉𝒊𝒄𝒖𝒍𝒆/(𝟐,𝟕𝟐))^(𝟎,𝟒𝟓)×𝒅</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𝒏𝒐𝒏 𝒓𝒆𝒗ê𝒕𝒖𝒆</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×(𝟏−𝒑/𝟑𝟔𝟓)×(𝟏−𝑬𝑹)+𝟑,𝟐𝟑×</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𝒔𝑳)</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𝟎,𝟗𝟏</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𝑷</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𝒗é𝒉𝒊𝒄𝒖𝒍𝒆×𝟏,𝟏)</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𝟏,𝟎𝟐</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𝒅</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𝒓𝒆𝒗ê𝒕𝒖𝒆</a:t>
                </a:r>
                <a:r>
                  <a:rPr lang="fr-FR" sz="1400" b="1">
                    <a:solidFill>
                      <a:sysClr val="windowText" lastClr="000000"/>
                    </a:solidFill>
                    <a:ea typeface="Cambria Math" panose="02040503050406030204" pitchFamily="18" charset="0"/>
                  </a:rPr>
                  <a:t> </a:t>
                </a:r>
                <a:r>
                  <a:rPr lang="fr-FR" sz="1400" b="1" i="0">
                    <a:solidFill>
                      <a:sysClr val="windowText" lastClr="000000"/>
                    </a:solidFill>
                    <a:latin typeface="Cambria Math" panose="02040503050406030204" pitchFamily="18" charset="0"/>
                    <a:ea typeface="Cambria Math" panose="02040503050406030204" pitchFamily="18" charset="0"/>
                  </a:rPr>
                  <a:t>×(𝟏−𝒑/(𝟒×𝟑𝟔𝟓))</a:t>
                </a:r>
                <a:endParaRPr lang="en-GB" sz="1400" b="1">
                  <a:solidFill>
                    <a:sysClr val="windowText" lastClr="000000"/>
                  </a:solidFill>
                </a:endParaRPr>
              </a:p>
            </xdr:txBody>
          </xdr:sp>
        </mc:Fallback>
      </mc:AlternateContent>
      <mc:AlternateContent xmlns:mc="http://schemas.openxmlformats.org/markup-compatibility/2006" xmlns:a14="http://schemas.microsoft.com/office/drawing/2010/main">
        <mc:Choice Requires="a14">
          <xdr:sp macro="" textlink="">
            <xdr:nvSpPr>
              <xdr:cNvPr id="10" name="ZoneTexte 12">
                <a:extLst>
                  <a:ext uri="{FF2B5EF4-FFF2-40B4-BE49-F238E27FC236}">
                    <a16:creationId xmlns:a16="http://schemas.microsoft.com/office/drawing/2014/main" id="{00000000-0008-0000-0500-00000A000000}"/>
                  </a:ext>
                </a:extLst>
              </xdr:cNvPr>
              <xdr:cNvSpPr txBox="1"/>
            </xdr:nvSpPr>
            <xdr:spPr>
              <a:xfrm>
                <a:off x="1066800" y="7972425"/>
                <a:ext cx="13036731" cy="384785"/>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14:m>
                  <m:oMath xmlns:m="http://schemas.openxmlformats.org/officeDocument/2006/math">
                    <m:sSub>
                      <m:sSubPr>
                        <m:ctrlPr>
                          <a:rPr lang="fr-FR"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𝑬</m:t>
                        </m:r>
                      </m:e>
                      <m:sub>
                        <m:r>
                          <a:rPr lang="fr-FR" sz="1400" b="1" i="1">
                            <a:solidFill>
                              <a:sysClr val="windowText" lastClr="000000"/>
                            </a:solidFill>
                            <a:latin typeface="Cambria Math" panose="02040503050406030204" pitchFamily="18" charset="0"/>
                            <a:ea typeface="Cambria Math" panose="02040503050406030204" pitchFamily="18" charset="0"/>
                          </a:rPr>
                          <m:t>𝑷𝑴</m:t>
                        </m:r>
                        <m:r>
                          <a:rPr lang="fr-FR" sz="1400" b="1" i="1">
                            <a:solidFill>
                              <a:sysClr val="windowText" lastClr="000000"/>
                            </a:solidFill>
                            <a:latin typeface="Cambria Math" panose="02040503050406030204" pitchFamily="18" charset="0"/>
                            <a:ea typeface="Cambria Math" panose="02040503050406030204" pitchFamily="18" charset="0"/>
                          </a:rPr>
                          <m:t>𝟏𝟎</m:t>
                        </m:r>
                      </m:sub>
                    </m:sSub>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𝟒𝟐𝟑</m:t>
                    </m:r>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fr-FR" sz="1400" b="1" i="1">
                            <a:solidFill>
                              <a:sysClr val="windowText" lastClr="000000"/>
                            </a:solidFill>
                            <a:latin typeface="Cambria Math" panose="02040503050406030204" pitchFamily="18" charset="0"/>
                            <a:ea typeface="Cambria Math" panose="02040503050406030204" pitchFamily="18" charset="0"/>
                          </a:rPr>
                        </m:ctrlPr>
                      </m:sSupPr>
                      <m:e>
                        <m:d>
                          <m:dPr>
                            <m:ctrlPr>
                              <a:rPr lang="fr-FR" sz="1400" b="1" i="1">
                                <a:solidFill>
                                  <a:sysClr val="windowText" lastClr="000000"/>
                                </a:solidFill>
                                <a:latin typeface="Cambria Math" panose="02040503050406030204" pitchFamily="18" charset="0"/>
                                <a:ea typeface="Cambria Math" panose="02040503050406030204" pitchFamily="18" charset="0"/>
                              </a:rPr>
                            </m:ctrlPr>
                          </m:dPr>
                          <m:e>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𝒔</m:t>
                                </m:r>
                              </m:num>
                              <m:den>
                                <m:r>
                                  <a:rPr lang="fr-FR" sz="1400" b="1" i="1">
                                    <a:solidFill>
                                      <a:sysClr val="windowText" lastClr="000000"/>
                                    </a:solidFill>
                                    <a:latin typeface="Cambria Math" panose="02040503050406030204" pitchFamily="18" charset="0"/>
                                    <a:ea typeface="Cambria Math" panose="02040503050406030204" pitchFamily="18" charset="0"/>
                                  </a:rPr>
                                  <m:t>𝟏𝟐</m:t>
                                </m:r>
                              </m:den>
                            </m:f>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𝟗</m:t>
                        </m:r>
                      </m:sup>
                    </m:sSup>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fr-FR" sz="1400" b="1" i="1">
                            <a:solidFill>
                              <a:sysClr val="windowText" lastClr="000000"/>
                            </a:solidFill>
                            <a:latin typeface="Cambria Math" panose="02040503050406030204" pitchFamily="18" charset="0"/>
                            <a:ea typeface="Cambria Math" panose="02040503050406030204" pitchFamily="18" charset="0"/>
                          </a:rPr>
                        </m:ctrlPr>
                      </m:sSupPr>
                      <m:e>
                        <m:d>
                          <m:dPr>
                            <m:ctrlPr>
                              <a:rPr lang="fr-FR" sz="1400" b="1" i="1">
                                <a:solidFill>
                                  <a:sysClr val="windowText" lastClr="000000"/>
                                </a:solidFill>
                                <a:latin typeface="Cambria Math" panose="02040503050406030204" pitchFamily="18" charset="0"/>
                                <a:ea typeface="Cambria Math" panose="02040503050406030204" pitchFamily="18" charset="0"/>
                              </a:rPr>
                            </m:ctrlPr>
                          </m:dPr>
                          <m:e>
                            <m:f>
                              <m:fPr>
                                <m:ctrlPr>
                                  <a:rPr lang="fr-FR" sz="1400" b="1" i="1">
                                    <a:solidFill>
                                      <a:sysClr val="windowText" lastClr="000000"/>
                                    </a:solidFill>
                                    <a:latin typeface="Cambria Math" panose="02040503050406030204" pitchFamily="18" charset="0"/>
                                    <a:ea typeface="Cambria Math" panose="02040503050406030204" pitchFamily="18" charset="0"/>
                                  </a:rPr>
                                </m:ctrlPr>
                              </m:fPr>
                              <m:num>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𝑷</m:t>
                                    </m:r>
                                  </m:e>
                                  <m:sub>
                                    <m:r>
                                      <a:rPr lang="fr-FR" sz="1400" b="1" i="1">
                                        <a:solidFill>
                                          <a:sysClr val="windowText" lastClr="000000"/>
                                        </a:solidFill>
                                        <a:latin typeface="Cambria Math" panose="02040503050406030204" pitchFamily="18" charset="0"/>
                                        <a:ea typeface="Cambria Math" panose="02040503050406030204" pitchFamily="18" charset="0"/>
                                      </a:rPr>
                                      <m:t>𝒗</m:t>
                                    </m:r>
                                    <m:r>
                                      <a:rPr lang="fr-FR" sz="1400" b="1" i="1">
                                        <a:solidFill>
                                          <a:sysClr val="windowText" lastClr="000000"/>
                                        </a:solidFill>
                                        <a:latin typeface="Cambria Math" panose="02040503050406030204" pitchFamily="18" charset="0"/>
                                        <a:ea typeface="Cambria Math" panose="02040503050406030204" pitchFamily="18" charset="0"/>
                                      </a:rPr>
                                      <m:t>é</m:t>
                                    </m:r>
                                    <m:r>
                                      <a:rPr lang="fr-FR" sz="1400" b="1" i="1">
                                        <a:solidFill>
                                          <a:sysClr val="windowText" lastClr="000000"/>
                                        </a:solidFill>
                                        <a:latin typeface="Cambria Math" panose="02040503050406030204" pitchFamily="18" charset="0"/>
                                        <a:ea typeface="Cambria Math" panose="02040503050406030204" pitchFamily="18" charset="0"/>
                                      </a:rPr>
                                      <m:t>𝒉𝒊𝒄𝒖𝒍𝒆</m:t>
                                    </m:r>
                                  </m:sub>
                                </m:sSub>
                              </m:num>
                              <m:den>
                                <m:r>
                                  <a:rPr lang="fr-FR" sz="1400" b="1" i="1">
                                    <a:solidFill>
                                      <a:sysClr val="windowText" lastClr="000000"/>
                                    </a:solidFill>
                                    <a:latin typeface="Cambria Math" panose="02040503050406030204" pitchFamily="18" charset="0"/>
                                    <a:ea typeface="Cambria Math" panose="02040503050406030204" pitchFamily="18" charset="0"/>
                                  </a:rPr>
                                  <m:t>𝟐</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𝟕𝟐</m:t>
                                </m:r>
                              </m:den>
                            </m:f>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𝟒𝟓</m:t>
                        </m:r>
                      </m:sup>
                    </m:sSup>
                    <m:r>
                      <a:rPr lang="fr-FR" sz="1400" b="1" i="1">
                        <a:solidFill>
                          <a:sysClr val="windowText" lastClr="000000"/>
                        </a:solidFill>
                        <a:latin typeface="Cambria Math" panose="02040503050406030204" pitchFamily="18" charset="0"/>
                        <a:ea typeface="Cambria Math" panose="02040503050406030204" pitchFamily="18" charset="0"/>
                      </a:rPr>
                      <m:t>×</m:t>
                    </m:r>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𝒅</m:t>
                        </m:r>
                      </m:e>
                      <m:sub>
                        <m:r>
                          <a:rPr lang="fr-FR" sz="1400" b="1" i="1">
                            <a:solidFill>
                              <a:sysClr val="windowText" lastClr="000000"/>
                            </a:solidFill>
                            <a:latin typeface="Cambria Math" panose="02040503050406030204" pitchFamily="18" charset="0"/>
                            <a:ea typeface="Cambria Math" panose="02040503050406030204" pitchFamily="18" charset="0"/>
                          </a:rPr>
                          <m:t>𝒏𝒐𝒏</m:t>
                        </m:r>
                        <m:r>
                          <a:rPr lang="fr-FR" sz="1400" b="1" i="1">
                            <a:solidFill>
                              <a:sysClr val="windowText" lastClr="000000"/>
                            </a:solidFill>
                            <a:latin typeface="Cambria Math" panose="02040503050406030204" pitchFamily="18" charset="0"/>
                            <a:ea typeface="Cambria Math" panose="02040503050406030204" pitchFamily="18" charset="0"/>
                          </a:rPr>
                          <m:t> </m:t>
                        </m:r>
                        <m:r>
                          <a:rPr lang="fr-FR" sz="1400" b="1" i="1">
                            <a:solidFill>
                              <a:sysClr val="windowText" lastClr="000000"/>
                            </a:solidFill>
                            <a:latin typeface="Cambria Math" panose="02040503050406030204" pitchFamily="18" charset="0"/>
                            <a:ea typeface="Cambria Math" panose="02040503050406030204" pitchFamily="18" charset="0"/>
                          </a:rPr>
                          <m:t>𝒓𝒆𝒗</m:t>
                        </m:r>
                        <m:r>
                          <a:rPr lang="fr-FR" sz="1400" b="1" i="1">
                            <a:solidFill>
                              <a:sysClr val="windowText" lastClr="000000"/>
                            </a:solidFill>
                            <a:latin typeface="Cambria Math" panose="02040503050406030204" pitchFamily="18" charset="0"/>
                            <a:ea typeface="Cambria Math" panose="02040503050406030204" pitchFamily="18" charset="0"/>
                          </a:rPr>
                          <m:t>ê</m:t>
                        </m:r>
                        <m:r>
                          <a:rPr lang="fr-FR" sz="1400" b="1" i="1">
                            <a:solidFill>
                              <a:sysClr val="windowText" lastClr="000000"/>
                            </a:solidFill>
                            <a:latin typeface="Cambria Math" panose="02040503050406030204" pitchFamily="18" charset="0"/>
                            <a:ea typeface="Cambria Math" panose="02040503050406030204" pitchFamily="18" charset="0"/>
                          </a:rPr>
                          <m:t>𝒕𝒖𝒆</m:t>
                        </m:r>
                      </m:sub>
                    </m:sSub>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𝒑</m:t>
                            </m:r>
                          </m:num>
                          <m:den>
                            <m:r>
                              <a:rPr lang="fr-FR" sz="1400" b="1" i="1">
                                <a:solidFill>
                                  <a:sysClr val="windowText" lastClr="000000"/>
                                </a:solidFill>
                                <a:latin typeface="Cambria Math" panose="02040503050406030204" pitchFamily="18" charset="0"/>
                                <a:ea typeface="Cambria Math" panose="02040503050406030204" pitchFamily="18" charset="0"/>
                              </a:rPr>
                              <m:t>𝟑𝟔𝟓</m:t>
                            </m:r>
                          </m:den>
                        </m:f>
                      </m:e>
                    </m:d>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𝑬𝑹</m:t>
                        </m:r>
                      </m:e>
                    </m:d>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𝟔𝟐</m:t>
                    </m:r>
                    <m:r>
                      <a:rPr lang="fr-FR" sz="1400" b="1" i="1">
                        <a:solidFill>
                          <a:sysClr val="windowText" lastClr="000000"/>
                        </a:solidFill>
                        <a:latin typeface="Cambria Math" panose="02040503050406030204" pitchFamily="18" charset="0"/>
                        <a:ea typeface="Cambria Math" panose="02040503050406030204" pitchFamily="18" charset="0"/>
                      </a:rPr>
                      <m:t>×</m:t>
                    </m:r>
                    <m:sSup>
                      <m:sSupPr>
                        <m:ctrlPr>
                          <a:rPr lang="en-GB" sz="1400" b="1" i="1">
                            <a:solidFill>
                              <a:sysClr val="windowText" lastClr="000000"/>
                            </a:solidFill>
                            <a:latin typeface="Cambria Math" panose="02040503050406030204" pitchFamily="18" charset="0"/>
                            <a:ea typeface="Cambria Math" panose="02040503050406030204" pitchFamily="18" charset="0"/>
                          </a:rPr>
                        </m:ctrlPr>
                      </m:sSupPr>
                      <m:e>
                        <m:d>
                          <m:dPr>
                            <m:ctrlPr>
                              <a:rPr lang="en-GB"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𝒔𝑳</m:t>
                            </m:r>
                          </m:e>
                        </m:d>
                      </m:e>
                      <m:sup>
                        <m:r>
                          <a:rPr lang="fr-FR" sz="1400" b="1" i="1">
                            <a:solidFill>
                              <a:sysClr val="windowText" lastClr="000000"/>
                            </a:solidFill>
                            <a:latin typeface="Cambria Math" panose="02040503050406030204" pitchFamily="18" charset="0"/>
                            <a:ea typeface="Cambria Math" panose="02040503050406030204" pitchFamily="18" charset="0"/>
                          </a:rPr>
                          <m:t>𝟎</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𝟗𝟏</m:t>
                        </m:r>
                      </m:sup>
                    </m:sSup>
                    <m:r>
                      <a:rPr lang="en-GB" sz="1400" b="1" i="1">
                        <a:solidFill>
                          <a:sysClr val="windowText" lastClr="000000"/>
                        </a:solidFill>
                        <a:latin typeface="Cambria Math" panose="02040503050406030204" pitchFamily="18" charset="0"/>
                        <a:ea typeface="Cambria Math" panose="02040503050406030204" pitchFamily="18" charset="0"/>
                      </a:rPr>
                      <m:t>×</m:t>
                    </m:r>
                    <m:sSup>
                      <m:sSupPr>
                        <m:ctrlPr>
                          <a:rPr lang="en-GB" sz="1400" b="1" i="1">
                            <a:solidFill>
                              <a:sysClr val="windowText" lastClr="000000"/>
                            </a:solidFill>
                            <a:latin typeface="Cambria Math" panose="02040503050406030204" pitchFamily="18" charset="0"/>
                            <a:ea typeface="Cambria Math" panose="02040503050406030204" pitchFamily="18" charset="0"/>
                          </a:rPr>
                        </m:ctrlPr>
                      </m:sSupPr>
                      <m:e>
                        <m:d>
                          <m:dPr>
                            <m:ctrlPr>
                              <a:rPr lang="en-GB" sz="1400" b="1" i="1">
                                <a:solidFill>
                                  <a:sysClr val="windowText" lastClr="000000"/>
                                </a:solidFill>
                                <a:latin typeface="Cambria Math" panose="02040503050406030204" pitchFamily="18" charset="0"/>
                                <a:ea typeface="Cambria Math" panose="02040503050406030204" pitchFamily="18" charset="0"/>
                              </a:rPr>
                            </m:ctrlPr>
                          </m:dPr>
                          <m:e>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𝑷</m:t>
                                </m:r>
                              </m:e>
                              <m:sub>
                                <m:r>
                                  <a:rPr lang="fr-FR" sz="1400" b="1" i="1">
                                    <a:solidFill>
                                      <a:sysClr val="windowText" lastClr="000000"/>
                                    </a:solidFill>
                                    <a:latin typeface="Cambria Math" panose="02040503050406030204" pitchFamily="18" charset="0"/>
                                    <a:ea typeface="Cambria Math" panose="02040503050406030204" pitchFamily="18" charset="0"/>
                                  </a:rPr>
                                  <m:t>𝒗</m:t>
                                </m:r>
                                <m:r>
                                  <a:rPr lang="fr-FR" sz="1400" b="1" i="1">
                                    <a:solidFill>
                                      <a:sysClr val="windowText" lastClr="000000"/>
                                    </a:solidFill>
                                    <a:latin typeface="Cambria Math" panose="02040503050406030204" pitchFamily="18" charset="0"/>
                                    <a:ea typeface="Cambria Math" panose="02040503050406030204" pitchFamily="18" charset="0"/>
                                  </a:rPr>
                                  <m:t>é</m:t>
                                </m:r>
                                <m:r>
                                  <a:rPr lang="fr-FR" sz="1400" b="1" i="1">
                                    <a:solidFill>
                                      <a:sysClr val="windowText" lastClr="000000"/>
                                    </a:solidFill>
                                    <a:latin typeface="Cambria Math" panose="02040503050406030204" pitchFamily="18" charset="0"/>
                                    <a:ea typeface="Cambria Math" panose="02040503050406030204" pitchFamily="18" charset="0"/>
                                  </a:rPr>
                                  <m:t>𝒉𝒊𝒄𝒖𝒍𝒆</m:t>
                                </m:r>
                              </m:sub>
                            </m:sSub>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𝟏</m:t>
                            </m:r>
                          </m:e>
                        </m:d>
                      </m:e>
                      <m:sup>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𝟎𝟐</m:t>
                        </m:r>
                      </m:sup>
                    </m:sSup>
                    <m:r>
                      <a:rPr lang="en-GB" sz="1400" b="1" i="1">
                        <a:solidFill>
                          <a:sysClr val="windowText" lastClr="000000"/>
                        </a:solidFill>
                        <a:latin typeface="Cambria Math" panose="02040503050406030204" pitchFamily="18" charset="0"/>
                        <a:ea typeface="Cambria Math" panose="02040503050406030204" pitchFamily="18" charset="0"/>
                      </a:rPr>
                      <m:t>×</m:t>
                    </m:r>
                    <m:sSub>
                      <m:sSubPr>
                        <m:ctrlPr>
                          <a:rPr lang="en-GB" sz="1400" b="1" i="1">
                            <a:solidFill>
                              <a:sysClr val="windowText" lastClr="000000"/>
                            </a:solidFill>
                            <a:latin typeface="Cambria Math" panose="02040503050406030204" pitchFamily="18" charset="0"/>
                            <a:ea typeface="Cambria Math" panose="02040503050406030204" pitchFamily="18" charset="0"/>
                          </a:rPr>
                        </m:ctrlPr>
                      </m:sSubPr>
                      <m:e>
                        <m:r>
                          <a:rPr lang="fr-FR" sz="1400" b="1" i="1">
                            <a:solidFill>
                              <a:sysClr val="windowText" lastClr="000000"/>
                            </a:solidFill>
                            <a:latin typeface="Cambria Math" panose="02040503050406030204" pitchFamily="18" charset="0"/>
                            <a:ea typeface="Cambria Math" panose="02040503050406030204" pitchFamily="18" charset="0"/>
                          </a:rPr>
                          <m:t>𝒅</m:t>
                        </m:r>
                      </m:e>
                      <m:sub>
                        <m:r>
                          <a:rPr lang="fr-FR" sz="1400" b="1" i="1">
                            <a:solidFill>
                              <a:sysClr val="windowText" lastClr="000000"/>
                            </a:solidFill>
                            <a:latin typeface="Cambria Math" panose="02040503050406030204" pitchFamily="18" charset="0"/>
                            <a:ea typeface="Cambria Math" panose="02040503050406030204" pitchFamily="18" charset="0"/>
                          </a:rPr>
                          <m:t>𝒓𝒆𝒗</m:t>
                        </m:r>
                        <m:r>
                          <a:rPr lang="fr-FR" sz="1400" b="1" i="1">
                            <a:solidFill>
                              <a:sysClr val="windowText" lastClr="000000"/>
                            </a:solidFill>
                            <a:latin typeface="Cambria Math" panose="02040503050406030204" pitchFamily="18" charset="0"/>
                            <a:ea typeface="Cambria Math" panose="02040503050406030204" pitchFamily="18" charset="0"/>
                          </a:rPr>
                          <m:t>ê</m:t>
                        </m:r>
                        <m:r>
                          <a:rPr lang="fr-FR" sz="1400" b="1" i="1">
                            <a:solidFill>
                              <a:sysClr val="windowText" lastClr="000000"/>
                            </a:solidFill>
                            <a:latin typeface="Cambria Math" panose="02040503050406030204" pitchFamily="18" charset="0"/>
                            <a:ea typeface="Cambria Math" panose="02040503050406030204" pitchFamily="18" charset="0"/>
                          </a:rPr>
                          <m:t>𝒕𝒖𝒆</m:t>
                        </m:r>
                      </m:sub>
                    </m:sSub>
                  </m:oMath>
                </a14:m>
                <a:r>
                  <a:rPr lang="fr-FR" sz="1400" b="1">
                    <a:solidFill>
                      <a:sysClr val="windowText" lastClr="000000"/>
                    </a:solidFill>
                    <a:ea typeface="Cambria Math" panose="02040503050406030204" pitchFamily="18" charset="0"/>
                  </a:rPr>
                  <a:t> </a:t>
                </a:r>
                <a14:m>
                  <m:oMath xmlns:m="http://schemas.openxmlformats.org/officeDocument/2006/math">
                    <m:r>
                      <a:rPr lang="fr-FR" sz="1400" b="1" i="1">
                        <a:solidFill>
                          <a:sysClr val="windowText" lastClr="000000"/>
                        </a:solidFill>
                        <a:latin typeface="Cambria Math" panose="02040503050406030204" pitchFamily="18" charset="0"/>
                        <a:ea typeface="Cambria Math" panose="02040503050406030204" pitchFamily="18" charset="0"/>
                      </a:rPr>
                      <m:t>×</m:t>
                    </m:r>
                    <m:d>
                      <m:dPr>
                        <m:ctrlPr>
                          <a:rPr lang="fr-FR" sz="1400" b="1" i="1">
                            <a:solidFill>
                              <a:sysClr val="windowText" lastClr="000000"/>
                            </a:solidFill>
                            <a:latin typeface="Cambria Math" panose="02040503050406030204" pitchFamily="18" charset="0"/>
                            <a:ea typeface="Cambria Math" panose="02040503050406030204" pitchFamily="18" charset="0"/>
                          </a:rPr>
                        </m:ctrlPr>
                      </m:dPr>
                      <m:e>
                        <m:r>
                          <a:rPr lang="fr-FR" sz="1400" b="1" i="1">
                            <a:solidFill>
                              <a:sysClr val="windowText" lastClr="000000"/>
                            </a:solidFill>
                            <a:latin typeface="Cambria Math" panose="02040503050406030204" pitchFamily="18" charset="0"/>
                            <a:ea typeface="Cambria Math" panose="02040503050406030204" pitchFamily="18" charset="0"/>
                          </a:rPr>
                          <m:t>𝟏</m:t>
                        </m:r>
                        <m:r>
                          <a:rPr lang="fr-FR" sz="1400" b="1" i="1">
                            <a:solidFill>
                              <a:sysClr val="windowText" lastClr="000000"/>
                            </a:solidFill>
                            <a:latin typeface="Cambria Math" panose="02040503050406030204" pitchFamily="18" charset="0"/>
                            <a:ea typeface="Cambria Math" panose="02040503050406030204" pitchFamily="18" charset="0"/>
                          </a:rPr>
                          <m:t>−</m:t>
                        </m:r>
                        <m:f>
                          <m:fPr>
                            <m:ctrlPr>
                              <a:rPr lang="fr-FR" sz="1400" b="1" i="1">
                                <a:solidFill>
                                  <a:sysClr val="windowText" lastClr="000000"/>
                                </a:solidFill>
                                <a:latin typeface="Cambria Math" panose="02040503050406030204" pitchFamily="18" charset="0"/>
                                <a:ea typeface="Cambria Math" panose="02040503050406030204" pitchFamily="18" charset="0"/>
                              </a:rPr>
                            </m:ctrlPr>
                          </m:fPr>
                          <m:num>
                            <m:r>
                              <a:rPr lang="fr-FR" sz="1400" b="1" i="1">
                                <a:solidFill>
                                  <a:sysClr val="windowText" lastClr="000000"/>
                                </a:solidFill>
                                <a:latin typeface="Cambria Math" panose="02040503050406030204" pitchFamily="18" charset="0"/>
                                <a:ea typeface="Cambria Math" panose="02040503050406030204" pitchFamily="18" charset="0"/>
                              </a:rPr>
                              <m:t>𝒑</m:t>
                            </m:r>
                          </m:num>
                          <m:den>
                            <m:r>
                              <a:rPr lang="fr-FR" sz="1400" b="1" i="1">
                                <a:solidFill>
                                  <a:sysClr val="windowText" lastClr="000000"/>
                                </a:solidFill>
                                <a:latin typeface="Cambria Math" panose="02040503050406030204" pitchFamily="18" charset="0"/>
                                <a:ea typeface="Cambria Math" panose="02040503050406030204" pitchFamily="18" charset="0"/>
                              </a:rPr>
                              <m:t>𝟒</m:t>
                            </m:r>
                            <m:r>
                              <a:rPr lang="fr-FR" sz="1400" b="1" i="1">
                                <a:solidFill>
                                  <a:sysClr val="windowText" lastClr="000000"/>
                                </a:solidFill>
                                <a:latin typeface="Cambria Math" panose="02040503050406030204" pitchFamily="18" charset="0"/>
                                <a:ea typeface="Cambria Math" panose="02040503050406030204" pitchFamily="18" charset="0"/>
                              </a:rPr>
                              <m:t>×</m:t>
                            </m:r>
                            <m:r>
                              <a:rPr lang="fr-FR" sz="1400" b="1" i="1">
                                <a:solidFill>
                                  <a:sysClr val="windowText" lastClr="000000"/>
                                </a:solidFill>
                                <a:latin typeface="Cambria Math" panose="02040503050406030204" pitchFamily="18" charset="0"/>
                                <a:ea typeface="Cambria Math" panose="02040503050406030204" pitchFamily="18" charset="0"/>
                              </a:rPr>
                              <m:t>𝟑𝟔𝟓</m:t>
                            </m:r>
                          </m:den>
                        </m:f>
                      </m:e>
                    </m:d>
                  </m:oMath>
                </a14:m>
                <a:endParaRPr lang="en-GB" sz="1400" b="1">
                  <a:solidFill>
                    <a:sysClr val="windowText" lastClr="000000"/>
                  </a:solidFill>
                </a:endParaRPr>
              </a:p>
            </xdr:txBody>
          </xdr:sp>
        </mc:Choice>
        <mc:Fallback xmlns="">
          <xdr:sp macro="" textlink="">
            <xdr:nvSpPr>
              <xdr:cNvPr id="10" name="ZoneTexte 12">
                <a:extLst>
                  <a:ext uri="{FF2B5EF4-FFF2-40B4-BE49-F238E27FC236}">
                    <a16:creationId xmlns:a16="http://schemas.microsoft.com/office/drawing/2014/main" id="{00000000-0008-0000-0500-00000A000000}"/>
                  </a:ext>
                </a:extLst>
              </xdr:cNvPr>
              <xdr:cNvSpPr txBox="1"/>
            </xdr:nvSpPr>
            <xdr:spPr>
              <a:xfrm>
                <a:off x="1066800" y="7972425"/>
                <a:ext cx="13036731" cy="384785"/>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400" b="1" i="0">
                    <a:solidFill>
                      <a:sysClr val="windowText" lastClr="000000"/>
                    </a:solidFill>
                    <a:latin typeface="Cambria Math" panose="02040503050406030204" pitchFamily="18" charset="0"/>
                    <a:ea typeface="Cambria Math" panose="02040503050406030204" pitchFamily="18" charset="0"/>
                  </a:rPr>
                  <a:t>𝑬_𝑷𝑴𝟏𝟎=𝟎,𝟒𝟐𝟑×(𝒔/𝟏𝟐)^(𝟎,𝟗)×(𝑷</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𝒗é𝒉𝒊𝒄𝒖𝒍𝒆/(𝟐,𝟕𝟐))^(𝟎,𝟒𝟓)×𝒅</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𝒏𝒐𝒏 𝒓𝒆𝒗ê𝒕𝒖𝒆</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×(𝟏−𝒑/𝟑𝟔𝟓)×(𝟏−𝑬𝑹)+𝟎,𝟔𝟐×</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𝒔𝑳)</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𝟎,𝟗𝟏</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𝑷</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𝒗é𝒉𝒊𝒄𝒖𝒍𝒆×𝟏,𝟏)</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𝟏,𝟎𝟐</a:t>
                </a:r>
                <a:r>
                  <a:rPr lang="en-GB" sz="1400" b="1" i="0">
                    <a:solidFill>
                      <a:sysClr val="windowText" lastClr="000000"/>
                    </a:solidFill>
                    <a:latin typeface="Cambria Math" panose="02040503050406030204" pitchFamily="18" charset="0"/>
                    <a:ea typeface="Cambria Math" panose="02040503050406030204" pitchFamily="18" charset="0"/>
                  </a:rPr>
                  <a:t>)×</a:t>
                </a:r>
                <a:r>
                  <a:rPr lang="fr-FR" sz="1400" b="1" i="0">
                    <a:solidFill>
                      <a:sysClr val="windowText" lastClr="000000"/>
                    </a:solidFill>
                    <a:latin typeface="Cambria Math" panose="02040503050406030204" pitchFamily="18" charset="0"/>
                    <a:ea typeface="Cambria Math" panose="02040503050406030204" pitchFamily="18" charset="0"/>
                  </a:rPr>
                  <a:t>𝒅</a:t>
                </a:r>
                <a:r>
                  <a:rPr lang="en-GB" sz="1400" b="1" i="0">
                    <a:solidFill>
                      <a:sysClr val="windowText" lastClr="000000"/>
                    </a:solidFill>
                    <a:latin typeface="Cambria Math" panose="02040503050406030204" pitchFamily="18" charset="0"/>
                    <a:ea typeface="Cambria Math" panose="02040503050406030204" pitchFamily="18" charset="0"/>
                  </a:rPr>
                  <a:t>_</a:t>
                </a:r>
                <a:r>
                  <a:rPr lang="fr-FR" sz="1400" b="1" i="0">
                    <a:solidFill>
                      <a:sysClr val="windowText" lastClr="000000"/>
                    </a:solidFill>
                    <a:latin typeface="Cambria Math" panose="02040503050406030204" pitchFamily="18" charset="0"/>
                    <a:ea typeface="Cambria Math" panose="02040503050406030204" pitchFamily="18" charset="0"/>
                  </a:rPr>
                  <a:t>𝒓𝒆𝒗ê𝒕𝒖𝒆</a:t>
                </a:r>
                <a:r>
                  <a:rPr lang="fr-FR" sz="1400" b="1">
                    <a:solidFill>
                      <a:sysClr val="windowText" lastClr="000000"/>
                    </a:solidFill>
                    <a:ea typeface="Cambria Math" panose="02040503050406030204" pitchFamily="18" charset="0"/>
                  </a:rPr>
                  <a:t> </a:t>
                </a:r>
                <a:r>
                  <a:rPr lang="fr-FR" sz="1400" b="1" i="0">
                    <a:solidFill>
                      <a:sysClr val="windowText" lastClr="000000"/>
                    </a:solidFill>
                    <a:latin typeface="Cambria Math" panose="02040503050406030204" pitchFamily="18" charset="0"/>
                    <a:ea typeface="Cambria Math" panose="02040503050406030204" pitchFamily="18" charset="0"/>
                  </a:rPr>
                  <a:t>×(𝟏−𝒑/(𝟒×𝟑𝟔𝟓))</a:t>
                </a:r>
                <a:endParaRPr lang="en-GB" sz="1400" b="1">
                  <a:solidFill>
                    <a:sysClr val="windowText" lastClr="000000"/>
                  </a:solidFill>
                </a:endParaRPr>
              </a:p>
            </xdr:txBody>
          </xdr:sp>
        </mc:Fallback>
      </mc:AlternateContent>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11206</xdr:colOff>
      <xdr:row>39</xdr:row>
      <xdr:rowOff>33618</xdr:rowOff>
    </xdr:from>
    <xdr:to>
      <xdr:col>2</xdr:col>
      <xdr:colOff>784412</xdr:colOff>
      <xdr:row>41</xdr:row>
      <xdr:rowOff>336177</xdr:rowOff>
    </xdr:to>
    <xdr:sp macro="" textlink="">
      <xdr:nvSpPr>
        <xdr:cNvPr id="2" name="ZoneTexte 1">
          <a:extLst>
            <a:ext uri="{FF2B5EF4-FFF2-40B4-BE49-F238E27FC236}">
              <a16:creationId xmlns:a16="http://schemas.microsoft.com/office/drawing/2014/main" id="{13DF3BD5-9760-42AA-BF72-06459157F9B9}"/>
            </a:ext>
          </a:extLst>
        </xdr:cNvPr>
        <xdr:cNvSpPr txBox="1"/>
      </xdr:nvSpPr>
      <xdr:spPr>
        <a:xfrm>
          <a:off x="1135156" y="12463743"/>
          <a:ext cx="6669181" cy="6835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1</xdr:col>
      <xdr:colOff>0</xdr:colOff>
      <xdr:row>0</xdr:row>
      <xdr:rowOff>68035</xdr:rowOff>
    </xdr:from>
    <xdr:to>
      <xdr:col>1</xdr:col>
      <xdr:colOff>1295400</xdr:colOff>
      <xdr:row>0</xdr:row>
      <xdr:rowOff>1363435</xdr:rowOff>
    </xdr:to>
    <xdr:pic>
      <xdr:nvPicPr>
        <xdr:cNvPr id="5" name="il_fi" descr="http://www.symetris.fr/wp-content/uploads/Logo-CITEPA-pollution-atmosphere_Citepa2.pn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68035"/>
          <a:ext cx="1295400" cy="1295400"/>
        </a:xfrm>
        <a:prstGeom prst="rect">
          <a:avLst/>
        </a:prstGeom>
        <a:noFill/>
      </xdr:spPr>
    </xdr:pic>
    <xdr:clientData/>
  </xdr:twoCellAnchor>
  <xdr:twoCellAnchor editAs="oneCell">
    <xdr:from>
      <xdr:col>1</xdr:col>
      <xdr:colOff>1619250</xdr:colOff>
      <xdr:row>0</xdr:row>
      <xdr:rowOff>217714</xdr:rowOff>
    </xdr:from>
    <xdr:to>
      <xdr:col>1</xdr:col>
      <xdr:colOff>3115235</xdr:colOff>
      <xdr:row>0</xdr:row>
      <xdr:rowOff>1427949</xdr:rowOff>
    </xdr:to>
    <xdr:pic>
      <xdr:nvPicPr>
        <xdr:cNvPr id="6" name="il_fi" descr="http://www.semardel.fr/wp-content/uploads/2011/01/Logo-UNICEM.jpg">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srcRect l="6841" t="21840" r="6181" b="24856"/>
        <a:stretch>
          <a:fillRect/>
        </a:stretch>
      </xdr:blipFill>
      <xdr:spPr bwMode="auto">
        <a:xfrm>
          <a:off x="2381250" y="217714"/>
          <a:ext cx="1495985" cy="1210235"/>
        </a:xfrm>
        <a:prstGeom prst="rect">
          <a:avLst/>
        </a:prstGeom>
        <a:noFill/>
      </xdr:spPr>
    </xdr:pic>
    <xdr:clientData/>
  </xdr:twoCellAnchor>
  <xdr:twoCellAnchor editAs="oneCell">
    <xdr:from>
      <xdr:col>1</xdr:col>
      <xdr:colOff>3279321</xdr:colOff>
      <xdr:row>0</xdr:row>
      <xdr:rowOff>449036</xdr:rowOff>
    </xdr:from>
    <xdr:to>
      <xdr:col>1</xdr:col>
      <xdr:colOff>5040714</xdr:colOff>
      <xdr:row>0</xdr:row>
      <xdr:rowOff>1333065</xdr:rowOff>
    </xdr:to>
    <xdr:pic>
      <xdr:nvPicPr>
        <xdr:cNvPr id="7" name="il_fi" descr="http://www.infociments.fr/images/qui-sommes-nous/organisations-professionnelles/atilh/atilh300-principale.jp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837214" y="449036"/>
          <a:ext cx="1761393" cy="884029"/>
        </a:xfrm>
        <a:prstGeom prst="rect">
          <a:avLst/>
        </a:prstGeom>
        <a:noFill/>
      </xdr:spPr>
    </xdr:pic>
    <xdr:clientData/>
  </xdr:twoCellAnchor>
  <xdr:twoCellAnchor editAs="oneCell">
    <xdr:from>
      <xdr:col>0</xdr:col>
      <xdr:colOff>1059148</xdr:colOff>
      <xdr:row>29</xdr:row>
      <xdr:rowOff>53804</xdr:rowOff>
    </xdr:from>
    <xdr:to>
      <xdr:col>2</xdr:col>
      <xdr:colOff>300319</xdr:colOff>
      <xdr:row>37</xdr:row>
      <xdr:rowOff>8003</xdr:rowOff>
    </xdr:to>
    <xdr:pic>
      <xdr:nvPicPr>
        <xdr:cNvPr id="8210" name="Picture 18">
          <a:extLst>
            <a:ext uri="{FF2B5EF4-FFF2-40B4-BE49-F238E27FC236}">
              <a16:creationId xmlns:a16="http://schemas.microsoft.com/office/drawing/2014/main" id="{00000000-0008-0000-0600-0000122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59148" y="9937392"/>
          <a:ext cx="6863412" cy="1671901"/>
        </a:xfrm>
        <a:prstGeom prst="rect">
          <a:avLst/>
        </a:prstGeom>
        <a:noFill/>
        <a:ln w="1">
          <a:noFill/>
          <a:miter lim="800000"/>
          <a:headEnd/>
          <a:tailEnd type="none" w="med" len="med"/>
        </a:ln>
        <a:effectLst/>
      </xdr:spPr>
    </xdr:pic>
    <xdr:clientData/>
  </xdr:twoCellAnchor>
  <xdr:oneCellAnchor>
    <xdr:from>
      <xdr:col>1</xdr:col>
      <xdr:colOff>771525</xdr:colOff>
      <xdr:row>39</xdr:row>
      <xdr:rowOff>185737</xdr:rowOff>
    </xdr:from>
    <xdr:ext cx="5089407" cy="380361"/>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5F11D85C-56BF-4AE8-AD74-408D5C5F32D8}"/>
                </a:ext>
              </a:extLst>
            </xdr:cNvPr>
            <xdr:cNvSpPr txBox="1"/>
          </xdr:nvSpPr>
          <xdr:spPr>
            <a:xfrm>
              <a:off x="1895475" y="12615862"/>
              <a:ext cx="508940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GB" sz="1100" b="1" i="1">
                            <a:solidFill>
                              <a:sysClr val="windowText" lastClr="000000"/>
                            </a:solidFill>
                            <a:effectLst/>
                            <a:latin typeface="Cambria Math" panose="02040503050406030204" pitchFamily="18" charset="0"/>
                            <a:ea typeface="+mn-ea"/>
                            <a:cs typeface="+mn-cs"/>
                          </a:rPr>
                        </m:ctrlPr>
                      </m:sSubPr>
                      <m:e>
                        <m:r>
                          <a:rPr lang="fr-FR" sz="1100" b="1" i="1">
                            <a:solidFill>
                              <a:sysClr val="windowText" lastClr="000000"/>
                            </a:solidFill>
                            <a:effectLst/>
                            <a:latin typeface="Cambria Math" panose="02040503050406030204" pitchFamily="18" charset="0"/>
                            <a:ea typeface="+mn-ea"/>
                            <a:cs typeface="+mn-cs"/>
                          </a:rPr>
                          <m:t>𝑬</m:t>
                        </m:r>
                      </m:e>
                      <m:sub>
                        <m:r>
                          <a:rPr lang="fr-FR" sz="1100" b="1" i="1">
                            <a:solidFill>
                              <a:sysClr val="windowText" lastClr="000000"/>
                            </a:solidFill>
                            <a:effectLst/>
                            <a:latin typeface="Cambria Math" panose="02040503050406030204" pitchFamily="18" charset="0"/>
                            <a:ea typeface="+mn-ea"/>
                            <a:cs typeface="+mn-cs"/>
                          </a:rPr>
                          <m:t>𝑻𝑺𝑷</m:t>
                        </m:r>
                      </m:sub>
                    </m:sSub>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𝟏𝟐</m:t>
                    </m:r>
                    <m:r>
                      <a:rPr lang="fr-FR" sz="1100" b="1" i="1">
                        <a:solidFill>
                          <a:sysClr val="windowText" lastClr="000000"/>
                        </a:solidFill>
                        <a:effectLst/>
                        <a:latin typeface="Cambria Math" panose="02040503050406030204" pitchFamily="18" charset="0"/>
                        <a:ea typeface="+mn-ea"/>
                        <a:cs typeface="+mn-cs"/>
                      </a:rPr>
                      <m:t>. </m:t>
                    </m:r>
                    <m:sSup>
                      <m:sSupPr>
                        <m:ctrlPr>
                          <a:rPr lang="en-GB" sz="1100" b="1" i="1">
                            <a:solidFill>
                              <a:sysClr val="windowText" lastClr="000000"/>
                            </a:solidFill>
                            <a:effectLst/>
                            <a:latin typeface="Cambria Math" panose="02040503050406030204" pitchFamily="18" charset="0"/>
                            <a:ea typeface="+mn-ea"/>
                            <a:cs typeface="+mn-cs"/>
                          </a:rPr>
                        </m:ctrlPr>
                      </m:sSupPr>
                      <m:e>
                        <m:r>
                          <a:rPr lang="fr-FR" sz="1100" b="1" i="1">
                            <a:solidFill>
                              <a:sysClr val="windowText" lastClr="000000"/>
                            </a:solidFill>
                            <a:effectLst/>
                            <a:latin typeface="Cambria Math" panose="02040503050406030204" pitchFamily="18" charset="0"/>
                            <a:ea typeface="+mn-ea"/>
                            <a:cs typeface="+mn-cs"/>
                          </a:rPr>
                          <m:t>𝟏𝟎</m:t>
                        </m:r>
                      </m:e>
                      <m:sup>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𝟒</m:t>
                        </m:r>
                      </m:sup>
                    </m:sSup>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𝟕</m:t>
                    </m:r>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f>
                          <m:fPr>
                            <m:ctrlPr>
                              <a:rPr lang="en-GB" sz="1100" b="1" i="1">
                                <a:solidFill>
                                  <a:sysClr val="windowText" lastClr="000000"/>
                                </a:solidFill>
                                <a:effectLst/>
                                <a:latin typeface="Cambria Math" panose="02040503050406030204" pitchFamily="18" charset="0"/>
                                <a:ea typeface="+mn-ea"/>
                                <a:cs typeface="+mn-cs"/>
                              </a:rPr>
                            </m:ctrlPr>
                          </m:fPr>
                          <m:num>
                            <m:r>
                              <a:rPr lang="fr-FR" sz="1100" b="1" i="1">
                                <a:solidFill>
                                  <a:sysClr val="windowText" lastClr="000000"/>
                                </a:solidFill>
                                <a:effectLst/>
                                <a:latin typeface="Cambria Math" panose="02040503050406030204" pitchFamily="18" charset="0"/>
                                <a:ea typeface="+mn-ea"/>
                                <a:cs typeface="+mn-cs"/>
                              </a:rPr>
                              <m:t>𝒔</m:t>
                            </m:r>
                          </m:num>
                          <m:den>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𝟓</m:t>
                            </m:r>
                          </m:den>
                        </m:f>
                      </m:e>
                    </m:d>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𝟑𝟔𝟓</m:t>
                        </m:r>
                        <m:r>
                          <a:rPr lang="fr-FR" sz="1100" b="1" i="1">
                            <a:solidFill>
                              <a:sysClr val="windowText" lastClr="000000"/>
                            </a:solidFill>
                            <a:effectLst/>
                            <a:latin typeface="Cambria Math" panose="02040503050406030204" pitchFamily="18" charset="0"/>
                            <a:ea typeface="+mn-ea"/>
                            <a:cs typeface="+mn-cs"/>
                          </a:rPr>
                          <m:t>×</m:t>
                        </m:r>
                        <m:f>
                          <m:fPr>
                            <m:ctrlPr>
                              <a:rPr lang="en-GB" sz="1100" b="1" i="1">
                                <a:solidFill>
                                  <a:sysClr val="windowText" lastClr="000000"/>
                                </a:solidFill>
                                <a:effectLst/>
                                <a:latin typeface="Cambria Math" panose="02040503050406030204" pitchFamily="18" charset="0"/>
                                <a:ea typeface="+mn-ea"/>
                                <a:cs typeface="+mn-cs"/>
                              </a:rPr>
                            </m:ctrlPr>
                          </m:fPr>
                          <m:num>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𝟑𝟔𝟓</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𝑷</m:t>
                                </m:r>
                              </m:e>
                            </m:d>
                          </m:num>
                          <m:den>
                            <m:r>
                              <a:rPr lang="fr-FR" sz="1100" b="1" i="1">
                                <a:solidFill>
                                  <a:sysClr val="windowText" lastClr="000000"/>
                                </a:solidFill>
                                <a:effectLst/>
                                <a:latin typeface="Cambria Math" panose="02040503050406030204" pitchFamily="18" charset="0"/>
                                <a:ea typeface="+mn-ea"/>
                                <a:cs typeface="+mn-cs"/>
                              </a:rPr>
                              <m:t>𝟐𝟑𝟓</m:t>
                            </m:r>
                          </m:den>
                        </m:f>
                      </m:e>
                    </m:d>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f>
                          <m:fPr>
                            <m:ctrlPr>
                              <a:rPr lang="en-GB" sz="1100" b="1" i="1">
                                <a:solidFill>
                                  <a:sysClr val="windowText" lastClr="000000"/>
                                </a:solidFill>
                                <a:effectLst/>
                                <a:latin typeface="Cambria Math" panose="02040503050406030204" pitchFamily="18" charset="0"/>
                                <a:ea typeface="+mn-ea"/>
                                <a:cs typeface="+mn-cs"/>
                              </a:rPr>
                            </m:ctrlPr>
                          </m:fPr>
                          <m:num>
                            <m:r>
                              <a:rPr lang="fr-FR" sz="1100" b="1" i="1">
                                <a:solidFill>
                                  <a:sysClr val="windowText" lastClr="000000"/>
                                </a:solidFill>
                                <a:effectLst/>
                                <a:latin typeface="Cambria Math" panose="02040503050406030204" pitchFamily="18" charset="0"/>
                                <a:ea typeface="+mn-ea"/>
                                <a:cs typeface="+mn-cs"/>
                              </a:rPr>
                              <m:t>𝑰</m:t>
                            </m:r>
                          </m:num>
                          <m:den>
                            <m:r>
                              <a:rPr lang="fr-FR" sz="1100" b="1" i="1">
                                <a:solidFill>
                                  <a:sysClr val="windowText" lastClr="000000"/>
                                </a:solidFill>
                                <a:effectLst/>
                                <a:latin typeface="Cambria Math" panose="02040503050406030204" pitchFamily="18" charset="0"/>
                                <a:ea typeface="+mn-ea"/>
                                <a:cs typeface="+mn-cs"/>
                              </a:rPr>
                              <m:t>𝟏𝟓</m:t>
                            </m:r>
                          </m:den>
                        </m:f>
                      </m:e>
                    </m:d>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𝑨</m:t>
                    </m:r>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𝑬𝑹</m:t>
                        </m:r>
                      </m:e>
                    </m:d>
                  </m:oMath>
                </m:oMathPara>
              </a14:m>
              <a:endParaRPr lang="en-GB" sz="1100" b="1">
                <a:solidFill>
                  <a:sysClr val="windowText" lastClr="000000"/>
                </a:solidFill>
                <a:effectLst/>
                <a:latin typeface="+mn-lt"/>
                <a:ea typeface="+mn-ea"/>
                <a:cs typeface="+mn-cs"/>
              </a:endParaRPr>
            </a:p>
          </xdr:txBody>
        </xdr:sp>
      </mc:Choice>
      <mc:Fallback xmlns="">
        <xdr:sp macro="" textlink="">
          <xdr:nvSpPr>
            <xdr:cNvPr id="4" name="ZoneTexte 3">
              <a:extLst>
                <a:ext uri="{FF2B5EF4-FFF2-40B4-BE49-F238E27FC236}">
                  <a16:creationId xmlns:a16="http://schemas.microsoft.com/office/drawing/2014/main" id="{5F11D85C-56BF-4AE8-AD74-408D5C5F32D8}"/>
                </a:ext>
              </a:extLst>
            </xdr:cNvPr>
            <xdr:cNvSpPr txBox="1"/>
          </xdr:nvSpPr>
          <xdr:spPr>
            <a:xfrm>
              <a:off x="1895475" y="12615862"/>
              <a:ext cx="508940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i="0">
                  <a:solidFill>
                    <a:sysClr val="windowText" lastClr="000000"/>
                  </a:solidFill>
                  <a:effectLst/>
                  <a:latin typeface="Cambria Math" panose="02040503050406030204" pitchFamily="18" charset="0"/>
                  <a:ea typeface="+mn-ea"/>
                  <a:cs typeface="+mn-cs"/>
                </a:rPr>
                <a:t>𝑬</a:t>
              </a:r>
              <a:r>
                <a:rPr lang="en-GB" sz="1100" b="1" i="0">
                  <a:solidFill>
                    <a:sysClr val="windowText" lastClr="000000"/>
                  </a:solidFill>
                  <a:effectLst/>
                  <a:latin typeface="Cambria Math" panose="02040503050406030204" pitchFamily="18" charset="0"/>
                  <a:ea typeface="+mn-ea"/>
                  <a:cs typeface="+mn-cs"/>
                </a:rPr>
                <a:t>_</a:t>
              </a:r>
              <a:r>
                <a:rPr lang="fr-FR" sz="1100" b="1" i="0">
                  <a:solidFill>
                    <a:sysClr val="windowText" lastClr="000000"/>
                  </a:solidFill>
                  <a:effectLst/>
                  <a:latin typeface="Cambria Math" panose="02040503050406030204" pitchFamily="18" charset="0"/>
                  <a:ea typeface="+mn-ea"/>
                  <a:cs typeface="+mn-cs"/>
                </a:rPr>
                <a:t>𝑻𝑺𝑷=𝟏,𝟏𝟐. </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𝟏𝟎</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−𝟒</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×𝟏,𝟕×</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𝒔</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𝟑𝟔𝟓×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𝟑𝟔𝟓−𝑷)</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𝟐𝟑𝟓)×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𝑰</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𝟏𝟓)×𝑨×</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𝟏−𝑬𝑹)</a:t>
              </a:r>
              <a:endParaRPr lang="en-GB" sz="1100" b="1">
                <a:solidFill>
                  <a:sysClr val="windowText" lastClr="000000"/>
                </a:solidFill>
                <a:effectLst/>
                <a:latin typeface="+mn-lt"/>
                <a:ea typeface="+mn-ea"/>
                <a:cs typeface="+mn-cs"/>
              </a:endParaRPr>
            </a:p>
          </xdr:txBody>
        </xdr:sp>
      </mc:Fallback>
    </mc:AlternateContent>
    <xdr:clientData/>
  </xdr:oneCellAnchor>
  <xdr:twoCellAnchor>
    <xdr:from>
      <xdr:col>1</xdr:col>
      <xdr:colOff>11206</xdr:colOff>
      <xdr:row>42</xdr:row>
      <xdr:rowOff>33618</xdr:rowOff>
    </xdr:from>
    <xdr:to>
      <xdr:col>2</xdr:col>
      <xdr:colOff>784412</xdr:colOff>
      <xdr:row>44</xdr:row>
      <xdr:rowOff>50427</xdr:rowOff>
    </xdr:to>
    <xdr:sp macro="" textlink="">
      <xdr:nvSpPr>
        <xdr:cNvPr id="14" name="ZoneTexte 13">
          <a:extLst>
            <a:ext uri="{FF2B5EF4-FFF2-40B4-BE49-F238E27FC236}">
              <a16:creationId xmlns:a16="http://schemas.microsoft.com/office/drawing/2014/main" id="{2C059CE7-3683-494A-934F-FA04C713DDC0}"/>
            </a:ext>
          </a:extLst>
        </xdr:cNvPr>
        <xdr:cNvSpPr txBox="1"/>
      </xdr:nvSpPr>
      <xdr:spPr>
        <a:xfrm>
          <a:off x="1135156" y="13282893"/>
          <a:ext cx="6669181" cy="6835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oneCellAnchor>
    <xdr:from>
      <xdr:col>1</xdr:col>
      <xdr:colOff>590550</xdr:colOff>
      <xdr:row>42</xdr:row>
      <xdr:rowOff>185737</xdr:rowOff>
    </xdr:from>
    <xdr:ext cx="5394362" cy="380361"/>
    <mc:AlternateContent xmlns:mc="http://schemas.openxmlformats.org/markup-compatibility/2006" xmlns:a14="http://schemas.microsoft.com/office/drawing/2010/main">
      <mc:Choice Requires="a14">
        <xdr:sp macro="" textlink="">
          <xdr:nvSpPr>
            <xdr:cNvPr id="11" name="ZoneTexte 10">
              <a:extLst>
                <a:ext uri="{FF2B5EF4-FFF2-40B4-BE49-F238E27FC236}">
                  <a16:creationId xmlns:a16="http://schemas.microsoft.com/office/drawing/2014/main" id="{00B960FE-42C4-4C24-964F-05221327FA2D}"/>
                </a:ext>
              </a:extLst>
            </xdr:cNvPr>
            <xdr:cNvSpPr txBox="1"/>
          </xdr:nvSpPr>
          <xdr:spPr>
            <a:xfrm>
              <a:off x="957943" y="13371058"/>
              <a:ext cx="539436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GB" sz="1100" b="1" i="1">
                            <a:solidFill>
                              <a:sysClr val="windowText" lastClr="000000"/>
                            </a:solidFill>
                            <a:effectLst/>
                            <a:latin typeface="Cambria Math" panose="02040503050406030204" pitchFamily="18" charset="0"/>
                            <a:ea typeface="+mn-ea"/>
                            <a:cs typeface="+mn-cs"/>
                          </a:rPr>
                        </m:ctrlPr>
                      </m:sSubPr>
                      <m:e>
                        <m:r>
                          <a:rPr lang="fr-FR" sz="1100" b="1" i="1">
                            <a:solidFill>
                              <a:sysClr val="windowText" lastClr="000000"/>
                            </a:solidFill>
                            <a:effectLst/>
                            <a:latin typeface="Cambria Math" panose="02040503050406030204" pitchFamily="18" charset="0"/>
                            <a:ea typeface="+mn-ea"/>
                            <a:cs typeface="+mn-cs"/>
                          </a:rPr>
                          <m:t>𝑬</m:t>
                        </m:r>
                      </m:e>
                      <m:sub>
                        <m:r>
                          <a:rPr lang="fr-FR" sz="1100" b="1" i="1">
                            <a:solidFill>
                              <a:sysClr val="windowText" lastClr="000000"/>
                            </a:solidFill>
                            <a:effectLst/>
                            <a:latin typeface="Cambria Math" panose="02040503050406030204" pitchFamily="18" charset="0"/>
                            <a:ea typeface="+mn-ea"/>
                            <a:cs typeface="+mn-cs"/>
                          </a:rPr>
                          <m:t>𝑷𝑴</m:t>
                        </m:r>
                        <m:r>
                          <a:rPr lang="fr-FR" sz="1100" b="1" i="1">
                            <a:solidFill>
                              <a:sysClr val="windowText" lastClr="000000"/>
                            </a:solidFill>
                            <a:effectLst/>
                            <a:latin typeface="Cambria Math" panose="02040503050406030204" pitchFamily="18" charset="0"/>
                            <a:ea typeface="+mn-ea"/>
                            <a:cs typeface="+mn-cs"/>
                          </a:rPr>
                          <m:t>𝟏𝟎</m:t>
                        </m:r>
                      </m:sub>
                    </m:sSub>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𝟏𝟐</m:t>
                    </m:r>
                    <m:r>
                      <a:rPr lang="fr-FR" sz="1100" b="1" i="1">
                        <a:solidFill>
                          <a:sysClr val="windowText" lastClr="000000"/>
                        </a:solidFill>
                        <a:effectLst/>
                        <a:latin typeface="Cambria Math" panose="02040503050406030204" pitchFamily="18" charset="0"/>
                        <a:ea typeface="+mn-ea"/>
                        <a:cs typeface="+mn-cs"/>
                      </a:rPr>
                      <m:t>. </m:t>
                    </m:r>
                    <m:sSup>
                      <m:sSupPr>
                        <m:ctrlPr>
                          <a:rPr lang="en-GB" sz="1100" b="1" i="1">
                            <a:solidFill>
                              <a:sysClr val="windowText" lastClr="000000"/>
                            </a:solidFill>
                            <a:effectLst/>
                            <a:latin typeface="Cambria Math" panose="02040503050406030204" pitchFamily="18" charset="0"/>
                            <a:ea typeface="+mn-ea"/>
                            <a:cs typeface="+mn-cs"/>
                          </a:rPr>
                        </m:ctrlPr>
                      </m:sSupPr>
                      <m:e>
                        <m:r>
                          <a:rPr lang="fr-FR" sz="1100" b="1" i="1">
                            <a:solidFill>
                              <a:sysClr val="windowText" lastClr="000000"/>
                            </a:solidFill>
                            <a:effectLst/>
                            <a:latin typeface="Cambria Math" panose="02040503050406030204" pitchFamily="18" charset="0"/>
                            <a:ea typeface="+mn-ea"/>
                            <a:cs typeface="+mn-cs"/>
                          </a:rPr>
                          <m:t>𝟏𝟎</m:t>
                        </m:r>
                      </m:e>
                      <m:sup>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𝟒</m:t>
                        </m:r>
                      </m:sup>
                    </m:sSup>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𝟕</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𝟎</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𝟓</m:t>
                    </m:r>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f>
                          <m:fPr>
                            <m:ctrlPr>
                              <a:rPr lang="en-GB" sz="1100" b="1" i="1">
                                <a:solidFill>
                                  <a:sysClr val="windowText" lastClr="000000"/>
                                </a:solidFill>
                                <a:effectLst/>
                                <a:latin typeface="Cambria Math" panose="02040503050406030204" pitchFamily="18" charset="0"/>
                                <a:ea typeface="+mn-ea"/>
                                <a:cs typeface="+mn-cs"/>
                              </a:rPr>
                            </m:ctrlPr>
                          </m:fPr>
                          <m:num>
                            <m:r>
                              <a:rPr lang="fr-FR" sz="1100" b="1" i="1">
                                <a:solidFill>
                                  <a:sysClr val="windowText" lastClr="000000"/>
                                </a:solidFill>
                                <a:effectLst/>
                                <a:latin typeface="Cambria Math" panose="02040503050406030204" pitchFamily="18" charset="0"/>
                                <a:ea typeface="+mn-ea"/>
                                <a:cs typeface="+mn-cs"/>
                              </a:rPr>
                              <m:t>𝒔</m:t>
                            </m:r>
                          </m:num>
                          <m:den>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𝟓</m:t>
                            </m:r>
                          </m:den>
                        </m:f>
                      </m:e>
                    </m:d>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𝟑𝟔𝟓</m:t>
                        </m:r>
                        <m:r>
                          <a:rPr lang="fr-FR" sz="1100" b="1" i="1">
                            <a:solidFill>
                              <a:sysClr val="windowText" lastClr="000000"/>
                            </a:solidFill>
                            <a:effectLst/>
                            <a:latin typeface="Cambria Math" panose="02040503050406030204" pitchFamily="18" charset="0"/>
                            <a:ea typeface="+mn-ea"/>
                            <a:cs typeface="+mn-cs"/>
                          </a:rPr>
                          <m:t>×</m:t>
                        </m:r>
                        <m:f>
                          <m:fPr>
                            <m:ctrlPr>
                              <a:rPr lang="en-GB" sz="1100" b="1" i="1">
                                <a:solidFill>
                                  <a:sysClr val="windowText" lastClr="000000"/>
                                </a:solidFill>
                                <a:effectLst/>
                                <a:latin typeface="Cambria Math" panose="02040503050406030204" pitchFamily="18" charset="0"/>
                                <a:ea typeface="+mn-ea"/>
                                <a:cs typeface="+mn-cs"/>
                              </a:rPr>
                            </m:ctrlPr>
                          </m:fPr>
                          <m:num>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𝟑𝟔𝟓</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𝑷</m:t>
                                </m:r>
                              </m:e>
                            </m:d>
                          </m:num>
                          <m:den>
                            <m:r>
                              <a:rPr lang="fr-FR" sz="1100" b="1" i="1">
                                <a:solidFill>
                                  <a:sysClr val="windowText" lastClr="000000"/>
                                </a:solidFill>
                                <a:effectLst/>
                                <a:latin typeface="Cambria Math" panose="02040503050406030204" pitchFamily="18" charset="0"/>
                                <a:ea typeface="+mn-ea"/>
                                <a:cs typeface="+mn-cs"/>
                              </a:rPr>
                              <m:t>𝟐𝟑𝟓</m:t>
                            </m:r>
                          </m:den>
                        </m:f>
                      </m:e>
                    </m:d>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f>
                          <m:fPr>
                            <m:ctrlPr>
                              <a:rPr lang="en-GB" sz="1100" b="1" i="1">
                                <a:solidFill>
                                  <a:sysClr val="windowText" lastClr="000000"/>
                                </a:solidFill>
                                <a:effectLst/>
                                <a:latin typeface="Cambria Math" panose="02040503050406030204" pitchFamily="18" charset="0"/>
                                <a:ea typeface="+mn-ea"/>
                                <a:cs typeface="+mn-cs"/>
                              </a:rPr>
                            </m:ctrlPr>
                          </m:fPr>
                          <m:num>
                            <m:r>
                              <a:rPr lang="fr-FR" sz="1100" b="1" i="1">
                                <a:solidFill>
                                  <a:sysClr val="windowText" lastClr="000000"/>
                                </a:solidFill>
                                <a:effectLst/>
                                <a:latin typeface="Cambria Math" panose="02040503050406030204" pitchFamily="18" charset="0"/>
                                <a:ea typeface="+mn-ea"/>
                                <a:cs typeface="+mn-cs"/>
                              </a:rPr>
                              <m:t>𝑰</m:t>
                            </m:r>
                          </m:num>
                          <m:den>
                            <m:r>
                              <a:rPr lang="fr-FR" sz="1100" b="1" i="1">
                                <a:solidFill>
                                  <a:sysClr val="windowText" lastClr="000000"/>
                                </a:solidFill>
                                <a:effectLst/>
                                <a:latin typeface="Cambria Math" panose="02040503050406030204" pitchFamily="18" charset="0"/>
                                <a:ea typeface="+mn-ea"/>
                                <a:cs typeface="+mn-cs"/>
                              </a:rPr>
                              <m:t>𝟏𝟓</m:t>
                            </m:r>
                          </m:den>
                        </m:f>
                      </m:e>
                    </m:d>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𝑨</m:t>
                    </m:r>
                    <m:r>
                      <a:rPr lang="fr-FR" sz="1100" b="1" i="1">
                        <a:solidFill>
                          <a:sysClr val="windowText" lastClr="000000"/>
                        </a:solidFill>
                        <a:effectLst/>
                        <a:latin typeface="Cambria Math" panose="02040503050406030204" pitchFamily="18" charset="0"/>
                        <a:ea typeface="+mn-ea"/>
                        <a:cs typeface="+mn-cs"/>
                      </a:rPr>
                      <m:t>×</m:t>
                    </m:r>
                    <m:d>
                      <m:dPr>
                        <m:ctrlPr>
                          <a:rPr lang="en-GB" sz="1100" b="1" i="1">
                            <a:solidFill>
                              <a:sysClr val="windowText" lastClr="000000"/>
                            </a:solidFill>
                            <a:effectLst/>
                            <a:latin typeface="Cambria Math" panose="02040503050406030204" pitchFamily="18" charset="0"/>
                            <a:ea typeface="+mn-ea"/>
                            <a:cs typeface="+mn-cs"/>
                          </a:rPr>
                        </m:ctrlPr>
                      </m:dPr>
                      <m:e>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𝑬𝑹</m:t>
                        </m:r>
                      </m:e>
                    </m:d>
                  </m:oMath>
                </m:oMathPara>
              </a14:m>
              <a:endParaRPr lang="en-GB" sz="1100" b="1">
                <a:solidFill>
                  <a:sysClr val="windowText" lastClr="000000"/>
                </a:solidFill>
                <a:effectLst/>
                <a:latin typeface="+mn-lt"/>
                <a:ea typeface="+mn-ea"/>
                <a:cs typeface="+mn-cs"/>
              </a:endParaRPr>
            </a:p>
          </xdr:txBody>
        </xdr:sp>
      </mc:Choice>
      <mc:Fallback xmlns="">
        <xdr:sp macro="" textlink="">
          <xdr:nvSpPr>
            <xdr:cNvPr id="11" name="ZoneTexte 10">
              <a:extLst>
                <a:ext uri="{FF2B5EF4-FFF2-40B4-BE49-F238E27FC236}">
                  <a16:creationId xmlns:a16="http://schemas.microsoft.com/office/drawing/2014/main" id="{00B960FE-42C4-4C24-964F-05221327FA2D}"/>
                </a:ext>
              </a:extLst>
            </xdr:cNvPr>
            <xdr:cNvSpPr txBox="1"/>
          </xdr:nvSpPr>
          <xdr:spPr>
            <a:xfrm>
              <a:off x="957943" y="13371058"/>
              <a:ext cx="539436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i="0">
                  <a:solidFill>
                    <a:sysClr val="windowText" lastClr="000000"/>
                  </a:solidFill>
                  <a:effectLst/>
                  <a:latin typeface="Cambria Math" panose="02040503050406030204" pitchFamily="18" charset="0"/>
                  <a:ea typeface="+mn-ea"/>
                  <a:cs typeface="+mn-cs"/>
                </a:rPr>
                <a:t>𝑬</a:t>
              </a:r>
              <a:r>
                <a:rPr lang="en-GB" sz="1100" b="1" i="0">
                  <a:solidFill>
                    <a:sysClr val="windowText" lastClr="000000"/>
                  </a:solidFill>
                  <a:effectLst/>
                  <a:latin typeface="Cambria Math" panose="02040503050406030204" pitchFamily="18" charset="0"/>
                  <a:ea typeface="+mn-ea"/>
                  <a:cs typeface="+mn-cs"/>
                </a:rPr>
                <a:t>_</a:t>
              </a:r>
              <a:r>
                <a:rPr lang="fr-FR" sz="1100" b="1" i="0">
                  <a:solidFill>
                    <a:sysClr val="windowText" lastClr="000000"/>
                  </a:solidFill>
                  <a:effectLst/>
                  <a:latin typeface="Cambria Math" panose="02040503050406030204" pitchFamily="18" charset="0"/>
                  <a:ea typeface="+mn-ea"/>
                  <a:cs typeface="+mn-cs"/>
                </a:rPr>
                <a:t>𝑷𝑴𝟏𝟎=𝟏,𝟏𝟐. </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𝟏𝟎</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−𝟒</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×𝟏,𝟕×𝟎,𝟓×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𝒔</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𝟑𝟔𝟓×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𝟑𝟔𝟓−𝑷)</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𝟐𝟑𝟓)×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𝑰</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𝟏𝟓)×𝑨×</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𝟏−𝑬𝑹)</a:t>
              </a:r>
              <a:endParaRPr lang="en-GB" sz="1100" b="1">
                <a:solidFill>
                  <a:sysClr val="windowText" lastClr="000000"/>
                </a:solidFill>
                <a:effectLst/>
                <a:latin typeface="+mn-lt"/>
                <a:ea typeface="+mn-ea"/>
                <a:cs typeface="+mn-cs"/>
              </a:endParaRPr>
            </a:p>
          </xdr:txBody>
        </xdr:sp>
      </mc:Fallback>
    </mc:AlternateContent>
    <xdr:clientData/>
  </xdr:oneCellAnchor>
  <xdr:twoCellAnchor>
    <xdr:from>
      <xdr:col>1</xdr:col>
      <xdr:colOff>49306</xdr:colOff>
      <xdr:row>46</xdr:row>
      <xdr:rowOff>33618</xdr:rowOff>
    </xdr:from>
    <xdr:to>
      <xdr:col>2</xdr:col>
      <xdr:colOff>822512</xdr:colOff>
      <xdr:row>46</xdr:row>
      <xdr:rowOff>717177</xdr:rowOff>
    </xdr:to>
    <mc:AlternateContent xmlns:mc="http://schemas.openxmlformats.org/markup-compatibility/2006" xmlns:a14="http://schemas.microsoft.com/office/drawing/2010/main">
      <mc:Choice Requires="a14">
        <xdr:sp macro="" textlink="">
          <xdr:nvSpPr>
            <xdr:cNvPr id="16" name="ZoneTexte 15">
              <a:extLst>
                <a:ext uri="{FF2B5EF4-FFF2-40B4-BE49-F238E27FC236}">
                  <a16:creationId xmlns:a16="http://schemas.microsoft.com/office/drawing/2014/main" id="{5131F05E-234E-4A4C-97F2-5B42702ED662}"/>
                </a:ext>
              </a:extLst>
            </xdr:cNvPr>
            <xdr:cNvSpPr txBox="1"/>
          </xdr:nvSpPr>
          <xdr:spPr>
            <a:xfrm>
              <a:off x="1173256" y="16207068"/>
              <a:ext cx="6669181" cy="6835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fr-FR" sz="1100" b="1" i="1">
                      <a:solidFill>
                        <a:sysClr val="windowText" lastClr="000000"/>
                      </a:solidFill>
                      <a:effectLst/>
                      <a:latin typeface="Cambria Math" panose="02040503050406030204" pitchFamily="18" charset="0"/>
                      <a:ea typeface="+mn-ea"/>
                      <a:cs typeface="+mn-cs"/>
                    </a:rPr>
                    <m:t>𝑨</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𝒏𝒃</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𝝅</m:t>
                  </m:r>
                  <m:r>
                    <a:rPr lang="fr-FR" sz="1100" b="1" i="1">
                      <a:solidFill>
                        <a:sysClr val="windowText" lastClr="000000"/>
                      </a:solidFill>
                      <a:effectLst/>
                      <a:latin typeface="Cambria Math" panose="02040503050406030204" pitchFamily="18" charset="0"/>
                      <a:ea typeface="+mn-ea"/>
                      <a:cs typeface="+mn-cs"/>
                    </a:rPr>
                    <m:t>×</m:t>
                  </m:r>
                  <m:sSup>
                    <m:sSupPr>
                      <m:ctrlPr>
                        <a:rPr lang="en-GB" sz="1100" b="1" i="1">
                          <a:solidFill>
                            <a:sysClr val="windowText" lastClr="000000"/>
                          </a:solidFill>
                          <a:effectLst/>
                          <a:latin typeface="Cambria Math" panose="02040503050406030204" pitchFamily="18" charset="0"/>
                          <a:ea typeface="+mn-ea"/>
                          <a:cs typeface="+mn-cs"/>
                        </a:rPr>
                      </m:ctrlPr>
                    </m:sSupPr>
                    <m:e>
                      <m:r>
                        <a:rPr lang="fr-FR" sz="1100" b="1" i="1">
                          <a:solidFill>
                            <a:sysClr val="windowText" lastClr="000000"/>
                          </a:solidFill>
                          <a:effectLst/>
                          <a:latin typeface="Cambria Math" panose="02040503050406030204" pitchFamily="18" charset="0"/>
                          <a:ea typeface="+mn-ea"/>
                          <a:cs typeface="+mn-cs"/>
                        </a:rPr>
                        <m:t>𝒓</m:t>
                      </m:r>
                    </m:e>
                    <m:sup>
                      <m:r>
                        <a:rPr lang="fr-FR" sz="1100" b="1" i="1">
                          <a:solidFill>
                            <a:sysClr val="windowText" lastClr="000000"/>
                          </a:solidFill>
                          <a:effectLst/>
                          <a:latin typeface="Cambria Math" panose="02040503050406030204" pitchFamily="18" charset="0"/>
                          <a:ea typeface="+mn-ea"/>
                          <a:cs typeface="+mn-cs"/>
                        </a:rPr>
                        <m:t>𝟐</m:t>
                      </m:r>
                    </m:sup>
                  </m:sSup>
                  <m:r>
                    <a:rPr lang="fr-FR" sz="1100" b="1" i="1">
                      <a:solidFill>
                        <a:sysClr val="windowText" lastClr="000000"/>
                      </a:solidFill>
                      <a:effectLst/>
                      <a:latin typeface="Cambria Math" panose="02040503050406030204" pitchFamily="18" charset="0"/>
                      <a:ea typeface="+mn-ea"/>
                      <a:cs typeface="+mn-cs"/>
                    </a:rPr>
                    <m:t>×</m:t>
                  </m:r>
                  <m:rad>
                    <m:radPr>
                      <m:degHide m:val="on"/>
                      <m:ctrlPr>
                        <a:rPr lang="en-GB" sz="1100" b="1" i="1">
                          <a:solidFill>
                            <a:sysClr val="windowText" lastClr="000000"/>
                          </a:solidFill>
                          <a:effectLst/>
                          <a:latin typeface="Cambria Math" panose="02040503050406030204" pitchFamily="18" charset="0"/>
                          <a:ea typeface="+mn-ea"/>
                          <a:cs typeface="+mn-cs"/>
                        </a:rPr>
                      </m:ctrlPr>
                    </m:radPr>
                    <m:deg/>
                    <m:e>
                      <m:r>
                        <a:rPr lang="fr-FR" sz="1100" b="1" i="1">
                          <a:solidFill>
                            <a:sysClr val="windowText" lastClr="000000"/>
                          </a:solidFill>
                          <a:effectLst/>
                          <a:latin typeface="Cambria Math" panose="02040503050406030204" pitchFamily="18" charset="0"/>
                          <a:ea typeface="+mn-ea"/>
                          <a:cs typeface="+mn-cs"/>
                        </a:rPr>
                        <m:t>𝟏</m:t>
                      </m:r>
                      <m:r>
                        <a:rPr lang="fr-FR" sz="1100" b="1" i="1">
                          <a:solidFill>
                            <a:sysClr val="windowText" lastClr="000000"/>
                          </a:solidFill>
                          <a:effectLst/>
                          <a:latin typeface="Cambria Math" panose="02040503050406030204" pitchFamily="18" charset="0"/>
                          <a:ea typeface="+mn-ea"/>
                          <a:cs typeface="+mn-cs"/>
                        </a:rPr>
                        <m:t>+</m:t>
                      </m:r>
                      <m:sSup>
                        <m:sSupPr>
                          <m:ctrlPr>
                            <a:rPr lang="en-GB" sz="1100" b="1" i="1">
                              <a:solidFill>
                                <a:sysClr val="windowText" lastClr="000000"/>
                              </a:solidFill>
                              <a:effectLst/>
                              <a:latin typeface="Cambria Math" panose="02040503050406030204" pitchFamily="18" charset="0"/>
                              <a:ea typeface="+mn-ea"/>
                              <a:cs typeface="+mn-cs"/>
                            </a:rPr>
                          </m:ctrlPr>
                        </m:sSupPr>
                        <m:e>
                          <m:d>
                            <m:dPr>
                              <m:ctrlPr>
                                <a:rPr lang="en-GB" sz="1100" b="1" i="1">
                                  <a:solidFill>
                                    <a:sysClr val="windowText" lastClr="000000"/>
                                  </a:solidFill>
                                  <a:effectLst/>
                                  <a:latin typeface="Cambria Math" panose="02040503050406030204" pitchFamily="18" charset="0"/>
                                  <a:ea typeface="+mn-ea"/>
                                  <a:cs typeface="+mn-cs"/>
                                </a:rPr>
                              </m:ctrlPr>
                            </m:dPr>
                            <m:e>
                              <m:func>
                                <m:funcPr>
                                  <m:ctrlPr>
                                    <a:rPr lang="en-GB" sz="1100" b="1" i="1">
                                      <a:solidFill>
                                        <a:sysClr val="windowText" lastClr="000000"/>
                                      </a:solidFill>
                                      <a:effectLst/>
                                      <a:latin typeface="Cambria Math" panose="02040503050406030204" pitchFamily="18" charset="0"/>
                                      <a:ea typeface="+mn-ea"/>
                                      <a:cs typeface="+mn-cs"/>
                                    </a:rPr>
                                  </m:ctrlPr>
                                </m:funcPr>
                                <m:fName>
                                  <m:r>
                                    <a:rPr lang="fr-FR" sz="1100" b="1" i="1">
                                      <a:solidFill>
                                        <a:sysClr val="windowText" lastClr="000000"/>
                                      </a:solidFill>
                                      <a:effectLst/>
                                      <a:latin typeface="Cambria Math" panose="02040503050406030204" pitchFamily="18" charset="0"/>
                                      <a:ea typeface="+mn-ea"/>
                                      <a:cs typeface="+mn-cs"/>
                                    </a:rPr>
                                    <m:t>𝒕𝒂𝒏</m:t>
                                  </m:r>
                                </m:fName>
                                <m:e>
                                  <m:r>
                                    <a:rPr lang="fr-FR" sz="1100" b="1" i="1">
                                      <a:solidFill>
                                        <a:sysClr val="windowText" lastClr="000000"/>
                                      </a:solidFill>
                                      <a:effectLst/>
                                      <a:latin typeface="Cambria Math" panose="02040503050406030204" pitchFamily="18" charset="0"/>
                                      <a:ea typeface="+mn-ea"/>
                                      <a:cs typeface="+mn-cs"/>
                                    </a:rPr>
                                    <m:t>𝜽</m:t>
                                  </m:r>
                                </m:e>
                              </m:func>
                            </m:e>
                          </m:d>
                        </m:e>
                        <m:sup>
                          <m:r>
                            <a:rPr lang="fr-FR" sz="1100" b="1" i="1">
                              <a:solidFill>
                                <a:sysClr val="windowText" lastClr="000000"/>
                              </a:solidFill>
                              <a:effectLst/>
                              <a:latin typeface="Cambria Math" panose="02040503050406030204" pitchFamily="18" charset="0"/>
                              <a:ea typeface="+mn-ea"/>
                              <a:cs typeface="+mn-cs"/>
                            </a:rPr>
                            <m:t>𝟐</m:t>
                          </m:r>
                        </m:sup>
                      </m:sSup>
                    </m:e>
                  </m:rad>
                </m:oMath>
              </a14:m>
              <a:r>
                <a:rPr lang="en-GB" sz="1100" b="1">
                  <a:solidFill>
                    <a:sysClr val="windowText" lastClr="000000"/>
                  </a:solidFill>
                </a:rPr>
                <a:t>   </a:t>
              </a:r>
              <a:r>
                <a:rPr lang="en-GB" sz="1100">
                  <a:solidFill>
                    <a:sysClr val="windowText" lastClr="000000"/>
                  </a:solidFill>
                </a:rPr>
                <a:t>et   </a:t>
              </a:r>
              <a14:m>
                <m:oMath xmlns:m="http://schemas.openxmlformats.org/officeDocument/2006/math">
                  <m:r>
                    <a:rPr lang="fr-FR" sz="1100" b="1" i="1">
                      <a:solidFill>
                        <a:sysClr val="windowText" lastClr="000000"/>
                      </a:solidFill>
                      <a:effectLst/>
                      <a:latin typeface="Cambria Math" panose="02040503050406030204" pitchFamily="18" charset="0"/>
                      <a:ea typeface="+mn-ea"/>
                      <a:cs typeface="+mn-cs"/>
                    </a:rPr>
                    <m:t>𝒓</m:t>
                  </m:r>
                  <m:r>
                    <a:rPr lang="fr-FR" sz="1100" b="1" i="1">
                      <a:solidFill>
                        <a:sysClr val="windowText" lastClr="000000"/>
                      </a:solidFill>
                      <a:effectLst/>
                      <a:latin typeface="Cambria Math" panose="02040503050406030204" pitchFamily="18" charset="0"/>
                      <a:ea typeface="+mn-ea"/>
                      <a:cs typeface="+mn-cs"/>
                    </a:rPr>
                    <m:t>=</m:t>
                  </m:r>
                  <m:rad>
                    <m:radPr>
                      <m:ctrlPr>
                        <a:rPr lang="en-GB" sz="1100" b="1" i="1">
                          <a:solidFill>
                            <a:sysClr val="windowText" lastClr="000000"/>
                          </a:solidFill>
                          <a:effectLst/>
                          <a:latin typeface="Cambria Math" panose="02040503050406030204" pitchFamily="18" charset="0"/>
                          <a:ea typeface="+mn-ea"/>
                          <a:cs typeface="+mn-cs"/>
                        </a:rPr>
                      </m:ctrlPr>
                    </m:radPr>
                    <m:deg>
                      <m:r>
                        <a:rPr lang="fr-FR" sz="1100" b="1" i="1">
                          <a:solidFill>
                            <a:sysClr val="windowText" lastClr="000000"/>
                          </a:solidFill>
                          <a:effectLst/>
                          <a:latin typeface="Cambria Math" panose="02040503050406030204" pitchFamily="18" charset="0"/>
                          <a:ea typeface="+mn-ea"/>
                          <a:cs typeface="+mn-cs"/>
                        </a:rPr>
                        <m:t>𝟑</m:t>
                      </m:r>
                    </m:deg>
                    <m:e>
                      <m:f>
                        <m:fPr>
                          <m:ctrlPr>
                            <a:rPr lang="en-GB" sz="1100" b="1" i="1">
                              <a:solidFill>
                                <a:sysClr val="windowText" lastClr="000000"/>
                              </a:solidFill>
                              <a:effectLst/>
                              <a:latin typeface="Cambria Math" panose="02040503050406030204" pitchFamily="18" charset="0"/>
                              <a:ea typeface="+mn-ea"/>
                              <a:cs typeface="+mn-cs"/>
                            </a:rPr>
                          </m:ctrlPr>
                        </m:fPr>
                        <m:num>
                          <m:r>
                            <a:rPr lang="fr-FR" sz="1100" b="1" i="1">
                              <a:solidFill>
                                <a:sysClr val="windowText" lastClr="000000"/>
                              </a:solidFill>
                              <a:effectLst/>
                              <a:latin typeface="Cambria Math" panose="02040503050406030204" pitchFamily="18" charset="0"/>
                              <a:ea typeface="+mn-ea"/>
                              <a:cs typeface="+mn-cs"/>
                            </a:rPr>
                            <m:t>𝟑</m:t>
                          </m:r>
                          <m:r>
                            <a:rPr lang="fr-FR" sz="1100" b="1" i="1">
                              <a:solidFill>
                                <a:sysClr val="windowText" lastClr="000000"/>
                              </a:solidFill>
                              <a:effectLst/>
                              <a:latin typeface="Cambria Math" panose="02040503050406030204" pitchFamily="18" charset="0"/>
                              <a:ea typeface="+mn-ea"/>
                              <a:cs typeface="+mn-cs"/>
                            </a:rPr>
                            <m:t>×</m:t>
                          </m:r>
                          <m:f>
                            <m:fPr>
                              <m:ctrlPr>
                                <a:rPr lang="en-GB" sz="1100" b="1" i="1">
                                  <a:solidFill>
                                    <a:sysClr val="windowText" lastClr="000000"/>
                                  </a:solidFill>
                                  <a:effectLst/>
                                  <a:latin typeface="Cambria Math" panose="02040503050406030204" pitchFamily="18" charset="0"/>
                                  <a:ea typeface="+mn-ea"/>
                                  <a:cs typeface="+mn-cs"/>
                                </a:rPr>
                              </m:ctrlPr>
                            </m:fPr>
                            <m:num>
                              <m:sSub>
                                <m:sSubPr>
                                  <m:ctrlPr>
                                    <a:rPr lang="en-GB" sz="1100" b="1" i="1">
                                      <a:solidFill>
                                        <a:sysClr val="windowText" lastClr="000000"/>
                                      </a:solidFill>
                                      <a:effectLst/>
                                      <a:latin typeface="Cambria Math" panose="02040503050406030204" pitchFamily="18" charset="0"/>
                                      <a:ea typeface="+mn-ea"/>
                                      <a:cs typeface="+mn-cs"/>
                                    </a:rPr>
                                  </m:ctrlPr>
                                </m:sSubPr>
                                <m:e>
                                  <m:r>
                                    <a:rPr lang="fr-FR" sz="1100" b="1" i="1">
                                      <a:solidFill>
                                        <a:sysClr val="windowText" lastClr="000000"/>
                                      </a:solidFill>
                                      <a:effectLst/>
                                      <a:latin typeface="Cambria Math" panose="02040503050406030204" pitchFamily="18" charset="0"/>
                                      <a:ea typeface="+mn-ea"/>
                                      <a:cs typeface="+mn-cs"/>
                                    </a:rPr>
                                    <m:t>𝑸</m:t>
                                  </m:r>
                                </m:e>
                                <m:sub>
                                  <m:r>
                                    <a:rPr lang="fr-FR" sz="1100" b="1" i="1">
                                      <a:solidFill>
                                        <a:sysClr val="windowText" lastClr="000000"/>
                                      </a:solidFill>
                                      <a:effectLst/>
                                      <a:latin typeface="Cambria Math" panose="02040503050406030204" pitchFamily="18" charset="0"/>
                                      <a:ea typeface="+mn-ea"/>
                                      <a:cs typeface="+mn-cs"/>
                                    </a:rPr>
                                    <m:t>𝒔</m:t>
                                  </m:r>
                                </m:sub>
                              </m:sSub>
                            </m:num>
                            <m:den>
                              <m:r>
                                <a:rPr lang="fr-FR" sz="1100" b="1" i="1">
                                  <a:solidFill>
                                    <a:sysClr val="windowText" lastClr="000000"/>
                                  </a:solidFill>
                                  <a:effectLst/>
                                  <a:latin typeface="Cambria Math" panose="02040503050406030204" pitchFamily="18" charset="0"/>
                                  <a:ea typeface="+mn-ea"/>
                                  <a:cs typeface="+mn-cs"/>
                                </a:rPr>
                                <m:t>𝝆</m:t>
                              </m:r>
                            </m:den>
                          </m:f>
                        </m:num>
                        <m:den>
                          <m:r>
                            <a:rPr lang="fr-FR" sz="1100" b="1" i="1">
                              <a:solidFill>
                                <a:sysClr val="windowText" lastClr="000000"/>
                              </a:solidFill>
                              <a:effectLst/>
                              <a:latin typeface="Cambria Math" panose="02040503050406030204" pitchFamily="18" charset="0"/>
                              <a:ea typeface="+mn-ea"/>
                              <a:cs typeface="+mn-cs"/>
                            </a:rPr>
                            <m:t>𝒏𝒃</m:t>
                          </m:r>
                          <m:r>
                            <a:rPr lang="fr-FR" sz="1100" b="1" i="1">
                              <a:solidFill>
                                <a:sysClr val="windowText" lastClr="000000"/>
                              </a:solidFill>
                              <a:effectLst/>
                              <a:latin typeface="Cambria Math" panose="02040503050406030204" pitchFamily="18" charset="0"/>
                              <a:ea typeface="+mn-ea"/>
                              <a:cs typeface="+mn-cs"/>
                            </a:rPr>
                            <m:t>×</m:t>
                          </m:r>
                          <m:r>
                            <a:rPr lang="fr-FR" sz="1100" b="1" i="1">
                              <a:solidFill>
                                <a:sysClr val="windowText" lastClr="000000"/>
                              </a:solidFill>
                              <a:effectLst/>
                              <a:latin typeface="Cambria Math" panose="02040503050406030204" pitchFamily="18" charset="0"/>
                              <a:ea typeface="+mn-ea"/>
                              <a:cs typeface="+mn-cs"/>
                            </a:rPr>
                            <m:t>𝝅</m:t>
                          </m:r>
                          <m:r>
                            <a:rPr lang="fr-FR" sz="1100" b="1" i="1">
                              <a:solidFill>
                                <a:sysClr val="windowText" lastClr="000000"/>
                              </a:solidFill>
                              <a:effectLst/>
                              <a:latin typeface="Cambria Math" panose="02040503050406030204" pitchFamily="18" charset="0"/>
                              <a:ea typeface="+mn-ea"/>
                              <a:cs typeface="+mn-cs"/>
                            </a:rPr>
                            <m:t>×</m:t>
                          </m:r>
                          <m:func>
                            <m:funcPr>
                              <m:ctrlPr>
                                <a:rPr lang="en-GB" sz="1100" b="1" i="1">
                                  <a:solidFill>
                                    <a:sysClr val="windowText" lastClr="000000"/>
                                  </a:solidFill>
                                  <a:effectLst/>
                                  <a:latin typeface="Cambria Math" panose="02040503050406030204" pitchFamily="18" charset="0"/>
                                  <a:ea typeface="+mn-ea"/>
                                  <a:cs typeface="+mn-cs"/>
                                </a:rPr>
                              </m:ctrlPr>
                            </m:funcPr>
                            <m:fName>
                              <m:r>
                                <a:rPr lang="fr-FR" sz="1100" b="1" i="1">
                                  <a:solidFill>
                                    <a:sysClr val="windowText" lastClr="000000"/>
                                  </a:solidFill>
                                  <a:effectLst/>
                                  <a:latin typeface="Cambria Math" panose="02040503050406030204" pitchFamily="18" charset="0"/>
                                  <a:ea typeface="+mn-ea"/>
                                  <a:cs typeface="+mn-cs"/>
                                </a:rPr>
                                <m:t>𝒕𝒂𝒏</m:t>
                              </m:r>
                            </m:fName>
                            <m:e>
                              <m:r>
                                <a:rPr lang="fr-FR" sz="1100" b="1" i="1">
                                  <a:solidFill>
                                    <a:sysClr val="windowText" lastClr="000000"/>
                                  </a:solidFill>
                                  <a:effectLst/>
                                  <a:latin typeface="Cambria Math" panose="02040503050406030204" pitchFamily="18" charset="0"/>
                                  <a:ea typeface="+mn-ea"/>
                                  <a:cs typeface="+mn-cs"/>
                                </a:rPr>
                                <m:t>𝜽</m:t>
                              </m:r>
                            </m:e>
                          </m:func>
                        </m:den>
                      </m:f>
                    </m:e>
                  </m:rad>
                </m:oMath>
              </a14:m>
              <a:endParaRPr lang="en-GB" sz="1100" b="1">
                <a:solidFill>
                  <a:sysClr val="windowText" lastClr="000000"/>
                </a:solidFill>
              </a:endParaRPr>
            </a:p>
          </xdr:txBody>
        </xdr:sp>
      </mc:Choice>
      <mc:Fallback xmlns="">
        <xdr:sp macro="" textlink="">
          <xdr:nvSpPr>
            <xdr:cNvPr id="16" name="ZoneTexte 15">
              <a:extLst>
                <a:ext uri="{FF2B5EF4-FFF2-40B4-BE49-F238E27FC236}">
                  <a16:creationId xmlns:a16="http://schemas.microsoft.com/office/drawing/2014/main" id="{5131F05E-234E-4A4C-97F2-5B42702ED662}"/>
                </a:ext>
              </a:extLst>
            </xdr:cNvPr>
            <xdr:cNvSpPr txBox="1"/>
          </xdr:nvSpPr>
          <xdr:spPr>
            <a:xfrm>
              <a:off x="1173256" y="16207068"/>
              <a:ext cx="6669181" cy="6835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a:solidFill>
                    <a:sysClr val="windowText" lastClr="000000"/>
                  </a:solidFill>
                  <a:effectLst/>
                  <a:latin typeface="Cambria Math" panose="02040503050406030204" pitchFamily="18" charset="0"/>
                  <a:ea typeface="+mn-ea"/>
                  <a:cs typeface="+mn-cs"/>
                </a:rPr>
                <a:t>𝑨=𝒏𝒃×𝝅×𝒓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𝟐×</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𝟏+</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𝒕𝒂𝒏</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𝜽 )</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𝟐 </a:t>
              </a:r>
              <a:r>
                <a:rPr lang="en-GB" sz="1100" b="1" i="0">
                  <a:solidFill>
                    <a:sysClr val="windowText" lastClr="000000"/>
                  </a:solidFill>
                  <a:effectLst/>
                  <a:latin typeface="Cambria Math" panose="02040503050406030204" pitchFamily="18" charset="0"/>
                  <a:ea typeface="+mn-ea"/>
                  <a:cs typeface="+mn-cs"/>
                </a:rPr>
                <a:t>)</a:t>
              </a:r>
              <a:r>
                <a:rPr lang="en-GB" sz="1100" b="1">
                  <a:solidFill>
                    <a:sysClr val="windowText" lastClr="000000"/>
                  </a:solidFill>
                </a:rPr>
                <a:t>   </a:t>
              </a:r>
              <a:r>
                <a:rPr lang="en-GB" sz="1100">
                  <a:solidFill>
                    <a:sysClr val="windowText" lastClr="000000"/>
                  </a:solidFill>
                </a:rPr>
                <a:t>et   </a:t>
              </a:r>
              <a:r>
                <a:rPr lang="fr-FR" sz="1100" b="1" i="0">
                  <a:solidFill>
                    <a:sysClr val="windowText" lastClr="000000"/>
                  </a:solidFill>
                  <a:effectLst/>
                  <a:latin typeface="Cambria Math" panose="02040503050406030204" pitchFamily="18" charset="0"/>
                  <a:ea typeface="+mn-ea"/>
                  <a:cs typeface="+mn-cs"/>
                </a:rPr>
                <a:t>𝒓=</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𝟑&amp;</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𝟑×𝑸</a:t>
              </a:r>
              <a:r>
                <a:rPr lang="en-GB" sz="1100" b="1" i="0">
                  <a:solidFill>
                    <a:sysClr val="windowText" lastClr="000000"/>
                  </a:solidFill>
                  <a:effectLst/>
                  <a:latin typeface="Cambria Math" panose="02040503050406030204" pitchFamily="18" charset="0"/>
                  <a:ea typeface="+mn-ea"/>
                  <a:cs typeface="+mn-cs"/>
                </a:rPr>
                <a:t>_</a:t>
              </a:r>
              <a:r>
                <a:rPr lang="fr-FR" sz="1100" b="1" i="0">
                  <a:solidFill>
                    <a:sysClr val="windowText" lastClr="000000"/>
                  </a:solidFill>
                  <a:effectLst/>
                  <a:latin typeface="Cambria Math" panose="02040503050406030204" pitchFamily="18" charset="0"/>
                  <a:ea typeface="+mn-ea"/>
                  <a:cs typeface="+mn-cs"/>
                </a:rPr>
                <a:t>𝒔</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𝝆</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𝒏𝒃×𝝅×𝒕𝒂𝒏</a:t>
              </a:r>
              <a:r>
                <a:rPr lang="en-GB" sz="1100" b="1" i="0">
                  <a:solidFill>
                    <a:sysClr val="windowText" lastClr="000000"/>
                  </a:solidFill>
                  <a:effectLst/>
                  <a:latin typeface="Cambria Math" panose="02040503050406030204" pitchFamily="18" charset="0"/>
                  <a:ea typeface="+mn-ea"/>
                  <a:cs typeface="+mn-cs"/>
                </a:rPr>
                <a:t>⁡</a:t>
              </a:r>
              <a:r>
                <a:rPr lang="fr-FR" sz="1100" b="1" i="0">
                  <a:solidFill>
                    <a:sysClr val="windowText" lastClr="000000"/>
                  </a:solidFill>
                  <a:effectLst/>
                  <a:latin typeface="Cambria Math" panose="02040503050406030204" pitchFamily="18" charset="0"/>
                  <a:ea typeface="+mn-ea"/>
                  <a:cs typeface="+mn-cs"/>
                </a:rPr>
                <a:t>𝜽 </a:t>
              </a:r>
              <a:r>
                <a:rPr lang="en-GB" sz="1100" b="1" i="0">
                  <a:solidFill>
                    <a:sysClr val="windowText" lastClr="000000"/>
                  </a:solidFill>
                  <a:effectLst/>
                  <a:latin typeface="Cambria Math" panose="02040503050406030204" pitchFamily="18" charset="0"/>
                  <a:ea typeface="+mn-ea"/>
                  <a:cs typeface="+mn-cs"/>
                </a:rPr>
                <a:t>))</a:t>
              </a:r>
              <a:endParaRPr lang="en-GB" sz="1100" b="1">
                <a:solidFill>
                  <a:sysClr val="windowText" lastClr="00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VENTAIRE\FICHES\En%20cours\En_chantier\06-AGRICULTURE\Elev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énérique"/>
      <sheetName val="Références"/>
      <sheetName val="Suivi"/>
      <sheetName val="Cheptels"/>
      <sheetName val="FE"/>
      <sheetName val="Emissions"/>
      <sheetName val="Mode_Gestion"/>
      <sheetName val="Fermentation_CH4"/>
      <sheetName val="Déjections_CH4"/>
      <sheetName val="Déjections_N2O"/>
      <sheetName val="Déjections_NH3"/>
      <sheetName val="Export_culture"/>
      <sheetName val="Export_ACTIV"/>
      <sheetName val="cheptels DT"/>
      <sheetName val="DOM-TOM 1 (CH4 et NH3)"/>
      <sheetName val="dom-Export_ACTIV"/>
      <sheetName val="tom-Export_EMIS"/>
      <sheetName val="dom-Export_EMIS"/>
      <sheetName val="Export_EMIS"/>
      <sheetName val="tom-Export_ACTIV"/>
      <sheetName val="DOM-TOM 2 (N2O)"/>
      <sheetName val="DOM-TOM 3 (TSP- PM10-PM2.5)"/>
      <sheetName val="Export CRF-int"/>
      <sheetName val="Export CRF"/>
      <sheetName val="déjection-old"/>
      <sheetName val="Beck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O24"/>
  <sheetViews>
    <sheetView showGridLines="0" zoomScale="70" zoomScaleNormal="70" workbookViewId="0">
      <selection activeCell="F26" sqref="F26"/>
    </sheetView>
  </sheetViews>
  <sheetFormatPr baseColWidth="10" defaultColWidth="11.42578125" defaultRowHeight="15" x14ac:dyDescent="0.25"/>
  <cols>
    <col min="1" max="1" width="11.42578125" style="88"/>
    <col min="2" max="2" width="5" style="88" customWidth="1"/>
    <col min="3" max="3" width="5.140625" style="88" customWidth="1"/>
    <col min="4" max="4" width="29.85546875" style="88" customWidth="1"/>
    <col min="5" max="12" width="15.85546875" style="88" customWidth="1"/>
    <col min="13" max="13" width="5.85546875" style="88" customWidth="1"/>
    <col min="14" max="14" width="5.28515625" style="88" customWidth="1"/>
    <col min="15" max="16384" width="11.42578125" style="88"/>
  </cols>
  <sheetData>
    <row r="2" spans="3:15" x14ac:dyDescent="0.25">
      <c r="C2" s="190"/>
      <c r="D2" s="191"/>
      <c r="E2" s="191"/>
      <c r="F2" s="191"/>
      <c r="G2" s="191"/>
      <c r="H2" s="191"/>
      <c r="I2" s="191"/>
      <c r="J2" s="191"/>
      <c r="K2" s="191"/>
      <c r="L2" s="191"/>
      <c r="M2" s="192"/>
    </row>
    <row r="3" spans="3:15" x14ac:dyDescent="0.25">
      <c r="C3" s="193"/>
      <c r="D3" s="101"/>
      <c r="E3" s="101"/>
      <c r="F3" s="101"/>
      <c r="G3" s="101"/>
      <c r="H3" s="101"/>
      <c r="I3" s="101"/>
      <c r="J3" s="101"/>
      <c r="K3" s="101"/>
      <c r="L3" s="101"/>
      <c r="M3" s="194"/>
    </row>
    <row r="4" spans="3:15" x14ac:dyDescent="0.25">
      <c r="C4" s="193"/>
      <c r="D4" s="101"/>
      <c r="E4" s="101"/>
      <c r="F4" s="101"/>
      <c r="G4" s="101"/>
      <c r="H4" s="101"/>
      <c r="I4" s="101"/>
      <c r="J4" s="101"/>
      <c r="K4" s="101"/>
      <c r="L4" s="101"/>
      <c r="M4" s="194"/>
    </row>
    <row r="5" spans="3:15" x14ac:dyDescent="0.25">
      <c r="C5" s="193"/>
      <c r="D5" s="101"/>
      <c r="E5" s="101"/>
      <c r="F5" s="101"/>
      <c r="G5" s="101"/>
      <c r="H5" s="101"/>
      <c r="I5" s="101"/>
      <c r="J5" s="101"/>
      <c r="K5" s="101"/>
      <c r="L5" s="101"/>
      <c r="M5" s="194"/>
    </row>
    <row r="6" spans="3:15" x14ac:dyDescent="0.25">
      <c r="C6" s="193"/>
      <c r="D6" s="101"/>
      <c r="E6" s="101"/>
      <c r="F6" s="101"/>
      <c r="G6" s="101"/>
      <c r="H6" s="101"/>
      <c r="I6" s="101"/>
      <c r="J6" s="101"/>
      <c r="K6" s="101"/>
      <c r="L6" s="101"/>
      <c r="M6" s="194"/>
    </row>
    <row r="7" spans="3:15" x14ac:dyDescent="0.25">
      <c r="C7" s="193"/>
      <c r="D7" s="101"/>
      <c r="E7" s="101"/>
      <c r="F7" s="101"/>
      <c r="G7" s="101"/>
      <c r="H7" s="101"/>
      <c r="I7" s="101"/>
      <c r="J7" s="101"/>
      <c r="K7" s="101"/>
      <c r="L7" s="101"/>
      <c r="M7" s="194"/>
    </row>
    <row r="8" spans="3:15" x14ac:dyDescent="0.25">
      <c r="C8" s="193"/>
      <c r="D8" s="101"/>
      <c r="E8" s="101"/>
      <c r="F8" s="101"/>
      <c r="G8" s="101"/>
      <c r="H8" s="101"/>
      <c r="I8" s="101"/>
      <c r="J8" s="101"/>
      <c r="K8" s="101"/>
      <c r="L8" s="101"/>
      <c r="M8" s="194"/>
    </row>
    <row r="9" spans="3:15" x14ac:dyDescent="0.25">
      <c r="C9" s="193"/>
      <c r="D9" s="101"/>
      <c r="E9" s="101"/>
      <c r="F9" s="101"/>
      <c r="G9" s="101"/>
      <c r="H9" s="101"/>
      <c r="I9" s="101"/>
      <c r="J9" s="101"/>
      <c r="K9" s="101"/>
      <c r="L9" s="101"/>
      <c r="M9" s="194"/>
    </row>
    <row r="10" spans="3:15" ht="15.75" x14ac:dyDescent="0.25">
      <c r="C10" s="193"/>
      <c r="D10" s="400" t="s">
        <v>301</v>
      </c>
      <c r="E10" s="401"/>
      <c r="F10" s="401"/>
      <c r="G10" s="401"/>
      <c r="H10" s="401"/>
      <c r="I10" s="401"/>
      <c r="J10" s="401"/>
      <c r="K10" s="401"/>
      <c r="L10" s="401"/>
      <c r="M10" s="194"/>
    </row>
    <row r="11" spans="3:15" ht="15.75" x14ac:dyDescent="0.25">
      <c r="C11" s="193"/>
      <c r="D11" s="401"/>
      <c r="E11" s="401"/>
      <c r="F11" s="401"/>
      <c r="G11" s="401"/>
      <c r="H11" s="401"/>
      <c r="I11" s="401"/>
      <c r="J11" s="401"/>
      <c r="K11" s="401"/>
      <c r="L11" s="401"/>
      <c r="M11" s="194"/>
      <c r="O11"/>
    </row>
    <row r="12" spans="3:15" ht="31.5" customHeight="1" x14ac:dyDescent="0.25">
      <c r="C12" s="193"/>
      <c r="D12" s="730" t="s">
        <v>409</v>
      </c>
      <c r="E12" s="730"/>
      <c r="F12" s="730"/>
      <c r="G12" s="730"/>
      <c r="H12" s="730"/>
      <c r="I12" s="730"/>
      <c r="J12" s="730"/>
      <c r="K12" s="730"/>
      <c r="L12" s="730"/>
      <c r="M12" s="194"/>
    </row>
    <row r="13" spans="3:15" ht="15.75" customHeight="1" x14ac:dyDescent="0.25">
      <c r="C13" s="193"/>
      <c r="D13" s="402"/>
      <c r="E13" s="402"/>
      <c r="F13" s="402"/>
      <c r="G13" s="402"/>
      <c r="H13" s="402"/>
      <c r="I13" s="402"/>
      <c r="J13" s="402"/>
      <c r="K13" s="402"/>
      <c r="L13" s="402"/>
      <c r="M13" s="194"/>
    </row>
    <row r="14" spans="3:15" ht="46.5" customHeight="1" x14ac:dyDescent="0.25">
      <c r="C14" s="193"/>
      <c r="D14" s="730" t="s">
        <v>410</v>
      </c>
      <c r="E14" s="730"/>
      <c r="F14" s="730"/>
      <c r="G14" s="730"/>
      <c r="H14" s="730"/>
      <c r="I14" s="730"/>
      <c r="J14" s="730"/>
      <c r="K14" s="730"/>
      <c r="L14" s="730"/>
      <c r="M14" s="194"/>
    </row>
    <row r="15" spans="3:15" ht="13.5" customHeight="1" x14ac:dyDescent="0.25">
      <c r="C15" s="193"/>
      <c r="D15" s="402"/>
      <c r="E15" s="402"/>
      <c r="F15" s="402"/>
      <c r="G15" s="402"/>
      <c r="H15" s="402"/>
      <c r="I15" s="402"/>
      <c r="J15" s="402"/>
      <c r="K15" s="402"/>
      <c r="L15" s="402"/>
      <c r="M15" s="194"/>
    </row>
    <row r="16" spans="3:15" ht="48" customHeight="1" x14ac:dyDescent="0.25">
      <c r="C16" s="193"/>
      <c r="D16" s="730" t="s">
        <v>411</v>
      </c>
      <c r="E16" s="730"/>
      <c r="F16" s="730"/>
      <c r="G16" s="730"/>
      <c r="H16" s="730"/>
      <c r="I16" s="730"/>
      <c r="J16" s="730"/>
      <c r="K16" s="730"/>
      <c r="L16" s="730"/>
      <c r="M16" s="194"/>
    </row>
    <row r="17" spans="3:13" ht="15.75" x14ac:dyDescent="0.25">
      <c r="C17" s="193"/>
      <c r="D17" s="403"/>
      <c r="E17" s="403"/>
      <c r="F17" s="403"/>
      <c r="G17" s="403"/>
      <c r="H17" s="403"/>
      <c r="I17" s="403"/>
      <c r="J17" s="403"/>
      <c r="K17" s="403"/>
      <c r="L17" s="403"/>
      <c r="M17" s="194"/>
    </row>
    <row r="18" spans="3:13" ht="30" customHeight="1" x14ac:dyDescent="0.25">
      <c r="C18" s="193"/>
      <c r="D18" s="731" t="s">
        <v>306</v>
      </c>
      <c r="E18" s="731"/>
      <c r="F18" s="731"/>
      <c r="G18" s="731"/>
      <c r="H18" s="731"/>
      <c r="I18" s="731"/>
      <c r="J18" s="731"/>
      <c r="K18" s="731"/>
      <c r="L18" s="731"/>
      <c r="M18" s="194"/>
    </row>
    <row r="19" spans="3:13" ht="15.75" x14ac:dyDescent="0.25">
      <c r="C19" s="193"/>
      <c r="D19" s="403"/>
      <c r="E19" s="570"/>
      <c r="F19" s="570"/>
      <c r="G19" s="403"/>
      <c r="H19" s="403"/>
      <c r="I19" s="403"/>
      <c r="J19" s="403"/>
      <c r="K19" s="403"/>
      <c r="L19" s="403"/>
      <c r="M19" s="194"/>
    </row>
    <row r="20" spans="3:13" ht="15.75" x14ac:dyDescent="0.25">
      <c r="C20" s="193"/>
      <c r="D20" s="401" t="s">
        <v>302</v>
      </c>
      <c r="E20" s="571" t="s">
        <v>530</v>
      </c>
      <c r="F20" s="570"/>
      <c r="G20" s="403"/>
      <c r="H20" s="403"/>
      <c r="I20" s="403"/>
      <c r="J20" s="403"/>
      <c r="K20" s="403"/>
      <c r="L20" s="403"/>
      <c r="M20" s="194"/>
    </row>
    <row r="21" spans="3:13" ht="15.75" x14ac:dyDescent="0.25">
      <c r="C21" s="193"/>
      <c r="D21" s="401" t="s">
        <v>303</v>
      </c>
      <c r="E21" s="572">
        <v>43837</v>
      </c>
      <c r="F21" s="570"/>
      <c r="G21" s="403"/>
      <c r="H21" s="403"/>
      <c r="I21" s="403"/>
      <c r="J21" s="403"/>
      <c r="K21" s="403"/>
      <c r="L21" s="403"/>
      <c r="M21" s="194"/>
    </row>
    <row r="22" spans="3:13" x14ac:dyDescent="0.25">
      <c r="C22" s="195"/>
      <c r="D22" s="196"/>
      <c r="E22" s="573"/>
      <c r="F22" s="573"/>
      <c r="G22" s="196"/>
      <c r="H22" s="196"/>
      <c r="I22" s="196"/>
      <c r="J22" s="196"/>
      <c r="K22" s="196"/>
      <c r="L22" s="196"/>
      <c r="M22" s="197"/>
    </row>
    <row r="23" spans="3:13" x14ac:dyDescent="0.25">
      <c r="E23" s="574"/>
      <c r="F23" s="574"/>
    </row>
    <row r="24" spans="3:13" x14ac:dyDescent="0.25">
      <c r="E24" s="574"/>
      <c r="F24" s="574"/>
    </row>
  </sheetData>
  <sheetProtection algorithmName="SHA-512" hashValue="9UjM3XcWIuJCHBaC3V/R2st3Fs6QJsAKdFYs2RV/cCx0b8bW/uXiVr2VmfWE/ftMt5t2vTK4U0CFBCW7VT+gtA==" saltValue="JaKYb/q1K+YXLqoXFxufmQ==" spinCount="100000" sheet="1" selectLockedCells="1"/>
  <mergeCells count="4">
    <mergeCell ref="D12:L12"/>
    <mergeCell ref="D14:L14"/>
    <mergeCell ref="D16:L16"/>
    <mergeCell ref="D18:L18"/>
  </mergeCells>
  <printOptions horizontalCentered="1" verticalCentered="1"/>
  <pageMargins left="0.70866141732283472" right="0.70866141732283472" top="0.74803149606299213" bottom="0.74803149606299213" header="0.31496062992125984" footer="0.31496062992125984"/>
  <pageSetup paperSize="9" scale="6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M339"/>
  <sheetViews>
    <sheetView showGridLines="0" zoomScale="55" zoomScaleNormal="55" zoomScaleSheetLayoutView="70" zoomScalePageLayoutView="50" workbookViewId="0">
      <selection activeCell="C6" sqref="C6:D6"/>
    </sheetView>
  </sheetViews>
  <sheetFormatPr baseColWidth="10" defaultColWidth="11.42578125" defaultRowHeight="15.75" x14ac:dyDescent="0.25"/>
  <cols>
    <col min="1" max="1" width="6" style="139" customWidth="1"/>
    <col min="2" max="2" width="128.140625" style="139" customWidth="1"/>
    <col min="3" max="4" width="42.28515625" style="139" customWidth="1"/>
    <col min="5" max="5" width="48.85546875" style="139" customWidth="1"/>
    <col min="6" max="6" width="56.85546875" style="139" customWidth="1"/>
    <col min="7" max="7" width="61.5703125" style="139" customWidth="1"/>
    <col min="8" max="8" width="42.28515625" style="139" customWidth="1"/>
    <col min="9" max="9" width="30.5703125" style="250" customWidth="1"/>
    <col min="10" max="10" width="15.28515625" style="250" customWidth="1"/>
    <col min="11" max="11" width="64.5703125" style="250" customWidth="1"/>
    <col min="12" max="12" width="21.5703125" style="250" customWidth="1"/>
    <col min="13" max="13" width="24.140625" style="250" customWidth="1"/>
    <col min="14" max="16384" width="11.42578125" style="250"/>
  </cols>
  <sheetData>
    <row r="1" spans="1:7" ht="105" customHeight="1" x14ac:dyDescent="0.25"/>
    <row r="2" spans="1:7" s="251" customFormat="1" ht="18.75" x14ac:dyDescent="0.3">
      <c r="A2" s="139"/>
      <c r="B2" s="329" t="s">
        <v>399</v>
      </c>
      <c r="C2" s="139"/>
      <c r="D2" s="139"/>
      <c r="E2" s="139"/>
    </row>
    <row r="3" spans="1:7" s="252" customFormat="1" x14ac:dyDescent="0.2">
      <c r="A3" s="330"/>
      <c r="B3" s="331"/>
      <c r="C3" s="330"/>
      <c r="D3" s="330"/>
      <c r="E3" s="330"/>
    </row>
    <row r="4" spans="1:7" x14ac:dyDescent="0.25">
      <c r="B4" s="332" t="s">
        <v>122</v>
      </c>
    </row>
    <row r="5" spans="1:7" x14ac:dyDescent="0.25">
      <c r="B5" s="333"/>
      <c r="E5" s="306" t="s">
        <v>293</v>
      </c>
    </row>
    <row r="6" spans="1:7" ht="32.25" customHeight="1" x14ac:dyDescent="0.25">
      <c r="B6" s="334" t="s">
        <v>152</v>
      </c>
      <c r="C6" s="758"/>
      <c r="D6" s="759"/>
      <c r="E6" s="335" t="str">
        <f>IF(ISBLANK(C6),"veuillez indiquer une valeur","OK")</f>
        <v>veuillez indiquer une valeur</v>
      </c>
    </row>
    <row r="7" spans="1:7" ht="32.25" customHeight="1" x14ac:dyDescent="0.25">
      <c r="B7" s="334" t="s">
        <v>406</v>
      </c>
      <c r="C7" s="758"/>
      <c r="D7" s="759"/>
      <c r="E7" s="335" t="str">
        <f>IF(ISBLANK(C7),"veuillez indiquer une valeur","OK")</f>
        <v>veuillez indiquer une valeur</v>
      </c>
    </row>
    <row r="8" spans="1:7" ht="32.25" customHeight="1" x14ac:dyDescent="0.25">
      <c r="B8" s="334" t="s">
        <v>312</v>
      </c>
      <c r="C8" s="758"/>
      <c r="D8" s="759"/>
      <c r="E8" s="335" t="str">
        <f>IF(ISBLANK(C8),"veuillez indiquer une valeur","OK")</f>
        <v>veuillez indiquer une valeur</v>
      </c>
    </row>
    <row r="9" spans="1:7" ht="17.25" customHeight="1" x14ac:dyDescent="0.25">
      <c r="B9" s="330"/>
      <c r="C9" s="146"/>
      <c r="D9" s="146"/>
    </row>
    <row r="10" spans="1:7" ht="32.25" customHeight="1" x14ac:dyDescent="0.25">
      <c r="B10" s="559" t="s">
        <v>591</v>
      </c>
      <c r="C10" s="744"/>
      <c r="D10" s="745"/>
      <c r="E10" s="335" t="str">
        <f>IF(ISBLANK(C10),"veuillez indiquer une valeur","OK")</f>
        <v>veuillez indiquer une valeur</v>
      </c>
    </row>
    <row r="11" spans="1:7" ht="32.25" customHeight="1" x14ac:dyDescent="0.25">
      <c r="B11" s="575" t="s">
        <v>565</v>
      </c>
      <c r="C11" s="760"/>
      <c r="D11" s="761"/>
      <c r="E11" s="335" t="str">
        <f>IF(ISBLANK(C11),"veuillez indiquer une valeur","OK")</f>
        <v>veuillez indiquer une valeur</v>
      </c>
      <c r="F11" s="752" t="s">
        <v>592</v>
      </c>
      <c r="G11" s="753"/>
    </row>
    <row r="12" spans="1:7" ht="32.25" customHeight="1" x14ac:dyDescent="0.25">
      <c r="B12" s="336" t="s">
        <v>597</v>
      </c>
      <c r="C12" s="746"/>
      <c r="D12" s="746"/>
      <c r="E12" s="335" t="str">
        <f>IF(ISBLANK(C12),"veuillez indiquer une valeur","OK")</f>
        <v>veuillez indiquer une valeur</v>
      </c>
      <c r="F12" s="727" t="s">
        <v>598</v>
      </c>
      <c r="G12" s="309" t="str">
        <f>IFERROR(FIXED(C12*1000/D75,2,FALSE)&amp;" L/tonne","-")</f>
        <v>-</v>
      </c>
    </row>
    <row r="13" spans="1:7" ht="32.25" customHeight="1" x14ac:dyDescent="0.25">
      <c r="B13" s="614" t="s">
        <v>595</v>
      </c>
      <c r="C13" s="713"/>
      <c r="D13" s="576"/>
      <c r="E13" s="250"/>
      <c r="F13" s="715" t="s">
        <v>596</v>
      </c>
      <c r="G13" s="311" t="str">
        <f>IFERROR(FIXED(SUM(C14:C17)*10^6/D63,0,FALSE)&amp;" g/tonne","-")</f>
        <v>-</v>
      </c>
    </row>
    <row r="14" spans="1:7" ht="24" customHeight="1" x14ac:dyDescent="0.25">
      <c r="B14" s="577" t="s">
        <v>589</v>
      </c>
      <c r="C14" s="754"/>
      <c r="D14" s="755"/>
      <c r="E14" s="578" t="str">
        <f>IF(ISBLANK(C14),"veuillez indiquer une valeur","OK")</f>
        <v>veuillez indiquer une valeur</v>
      </c>
      <c r="F14" s="267"/>
      <c r="G14" s="267"/>
    </row>
    <row r="15" spans="1:7" ht="24" customHeight="1" x14ac:dyDescent="0.25">
      <c r="B15" s="579" t="s">
        <v>601</v>
      </c>
      <c r="C15" s="756"/>
      <c r="D15" s="757"/>
      <c r="E15" s="578" t="str">
        <f>IF(ISBLANK(C15),"veuillez indiquer une valeur","OK")</f>
        <v>veuillez indiquer une valeur</v>
      </c>
      <c r="F15" s="714"/>
      <c r="G15" s="154"/>
    </row>
    <row r="16" spans="1:7" ht="24" customHeight="1" x14ac:dyDescent="0.25">
      <c r="B16" s="580" t="s">
        <v>602</v>
      </c>
      <c r="C16" s="756"/>
      <c r="D16" s="757"/>
      <c r="E16" s="578" t="str">
        <f>IF(ISBLANK(C16),"veuillez indiquer une valeur","OK")</f>
        <v>veuillez indiquer une valeur</v>
      </c>
      <c r="F16" s="250"/>
      <c r="G16" s="250"/>
    </row>
    <row r="17" spans="1:12" ht="24" customHeight="1" x14ac:dyDescent="0.25">
      <c r="B17" s="581" t="s">
        <v>590</v>
      </c>
      <c r="C17" s="762"/>
      <c r="D17" s="763"/>
      <c r="E17" s="578" t="str">
        <f>IF(ISBLANK(C17),"veuillez indiquer une valeur","OK")</f>
        <v>veuillez indiquer une valeur</v>
      </c>
      <c r="F17" s="250"/>
    </row>
    <row r="18" spans="1:12" ht="17.25" customHeight="1" x14ac:dyDescent="0.25">
      <c r="B18" s="582"/>
      <c r="C18" s="582"/>
      <c r="D18" s="583"/>
    </row>
    <row r="19" spans="1:12" ht="39.75" customHeight="1" x14ac:dyDescent="0.25">
      <c r="B19" s="747" t="s">
        <v>182</v>
      </c>
      <c r="C19" s="748"/>
      <c r="D19" s="330"/>
    </row>
    <row r="20" spans="1:12" ht="21.75" customHeight="1" x14ac:dyDescent="0.25">
      <c r="B20" s="338" t="s">
        <v>115</v>
      </c>
      <c r="C20" s="405" t="e">
        <f>IF(HLOOKUP($C$10,$D$220:$M$225,2,FALSE)=0,"",HLOOKUP($C$10,$D$220:$M$225,2,FALSE))</f>
        <v>#N/A</v>
      </c>
    </row>
    <row r="21" spans="1:12" ht="21.75" customHeight="1" x14ac:dyDescent="0.25">
      <c r="B21" s="338" t="s">
        <v>339</v>
      </c>
      <c r="C21" s="405" t="e">
        <f>IF(HLOOKUP($C$10,$D$220:$M$225,3,FALSE)=0,"",HLOOKUP($C$10,$D$220:$M$225,3,FALSE))</f>
        <v>#N/A</v>
      </c>
    </row>
    <row r="22" spans="1:12" ht="21.75" customHeight="1" x14ac:dyDescent="0.25">
      <c r="B22" s="338" t="s">
        <v>116</v>
      </c>
      <c r="C22" s="405" t="e">
        <f>IF(HLOOKUP($C$10,$D$220:$M$225,4,FALSE)=0,"",HLOOKUP($C$10,$D$220:$M$225,4,FALSE))</f>
        <v>#N/A</v>
      </c>
    </row>
    <row r="23" spans="1:12" ht="21.75" customHeight="1" x14ac:dyDescent="0.25">
      <c r="B23" s="338" t="s">
        <v>117</v>
      </c>
      <c r="C23" s="405" t="e">
        <f>IF(HLOOKUP($C$10,$D$220:$M$225,5,FALSE)=0,"",HLOOKUP($C$10,$D$220:$M$225,5,FALSE))</f>
        <v>#N/A</v>
      </c>
    </row>
    <row r="24" spans="1:12" ht="21.75" customHeight="1" x14ac:dyDescent="0.25">
      <c r="B24" s="339" t="s">
        <v>118</v>
      </c>
      <c r="C24" s="406" t="e">
        <f>IF(HLOOKUP($C$10,$D$220:$M$225,6,FALSE)=0,"",HLOOKUP($C$10,$D$220:$M$225,6,FALSE))</f>
        <v>#N/A</v>
      </c>
    </row>
    <row r="25" spans="1:12" s="254" customFormat="1" ht="17.25" customHeight="1" x14ac:dyDescent="0.25">
      <c r="A25" s="340"/>
      <c r="B25" s="341"/>
      <c r="C25" s="342"/>
      <c r="D25" s="342"/>
      <c r="E25" s="340"/>
      <c r="F25" s="340"/>
      <c r="G25" s="340"/>
      <c r="H25" s="340"/>
      <c r="L25" s="250"/>
    </row>
    <row r="26" spans="1:12" ht="31.5" customHeight="1" x14ac:dyDescent="0.25">
      <c r="B26" s="736" t="s">
        <v>47</v>
      </c>
      <c r="C26" s="732" t="s">
        <v>120</v>
      </c>
      <c r="D26" s="734" t="s">
        <v>113</v>
      </c>
      <c r="E26" s="735"/>
      <c r="F26" s="732" t="s">
        <v>114</v>
      </c>
      <c r="G26" s="732" t="s">
        <v>386</v>
      </c>
      <c r="H26" s="732" t="s">
        <v>385</v>
      </c>
      <c r="I26" s="732" t="s">
        <v>387</v>
      </c>
      <c r="K26" s="732" t="s">
        <v>388</v>
      </c>
    </row>
    <row r="27" spans="1:12" ht="26.25" customHeight="1" x14ac:dyDescent="0.25">
      <c r="B27" s="737"/>
      <c r="C27" s="733"/>
      <c r="D27" s="343" t="s">
        <v>353</v>
      </c>
      <c r="E27" s="343" t="s">
        <v>415</v>
      </c>
      <c r="F27" s="733"/>
      <c r="G27" s="733"/>
      <c r="H27" s="733"/>
      <c r="I27" s="733"/>
      <c r="K27" s="733"/>
    </row>
    <row r="28" spans="1:12" ht="20.25" customHeight="1" x14ac:dyDescent="0.25">
      <c r="B28" s="344" t="s">
        <v>329</v>
      </c>
      <c r="C28" s="345">
        <f>'Fiche n°1 - Forage Minage'!D18</f>
        <v>0</v>
      </c>
      <c r="D28" s="346">
        <f>D71</f>
        <v>0</v>
      </c>
      <c r="E28" s="346">
        <f>'Fiche n°2 - Traitement'!H24</f>
        <v>0</v>
      </c>
      <c r="F28" s="346">
        <f>'Fiche n°3 - Transport interne'!D17</f>
        <v>0</v>
      </c>
      <c r="G28" s="346">
        <f>'Fiches n°4 et 5 - Stock'!D16</f>
        <v>0</v>
      </c>
      <c r="H28" s="346">
        <f>'Fiches n°4 et 5 - Stock'!D21</f>
        <v>0</v>
      </c>
      <c r="I28" s="346">
        <f>SUM(C28:H28)</f>
        <v>0</v>
      </c>
      <c r="K28" s="419">
        <f>'Fiche n°3 - Transport interne'!H17+'Fiches n°4 et 5 - Stock'!G21+'Fiche n°2 - Traitement'!L16+'Fiche n°1 - Forage Minage'!H18</f>
        <v>0</v>
      </c>
    </row>
    <row r="29" spans="1:12" ht="20.25" customHeight="1" x14ac:dyDescent="0.25">
      <c r="B29" s="347" t="s">
        <v>330</v>
      </c>
      <c r="C29" s="348">
        <f>'Fiche n°1 - Forage Minage'!D19</f>
        <v>0</v>
      </c>
      <c r="D29" s="349">
        <f>D72</f>
        <v>0</v>
      </c>
      <c r="E29" s="349">
        <f>'Fiche n°2 - Traitement'!H25</f>
        <v>0</v>
      </c>
      <c r="F29" s="349">
        <f>'Fiche n°3 - Transport interne'!D18</f>
        <v>0</v>
      </c>
      <c r="G29" s="349">
        <f>'Fiches n°4 et 5 - Stock'!D17</f>
        <v>0</v>
      </c>
      <c r="H29" s="349">
        <f>'Fiches n°4 et 5 - Stock'!D22</f>
        <v>0</v>
      </c>
      <c r="I29" s="349">
        <f>SUM(C29:H29)</f>
        <v>0</v>
      </c>
      <c r="K29" s="420">
        <f>'Fiche n°3 - Transport interne'!H18+'Fiches n°4 et 5 - Stock'!G22+'Fiche n°2 - Traitement'!L17+'Fiche n°1 - Forage Minage'!H19</f>
        <v>0</v>
      </c>
    </row>
    <row r="30" spans="1:12" ht="17.25" customHeight="1" x14ac:dyDescent="0.25">
      <c r="B30" s="147" t="s">
        <v>49</v>
      </c>
      <c r="C30" s="148"/>
      <c r="D30" s="148"/>
      <c r="E30" s="148"/>
    </row>
    <row r="31" spans="1:12" ht="17.25" customHeight="1" x14ac:dyDescent="0.25">
      <c r="B31" s="147"/>
      <c r="C31" s="148"/>
      <c r="D31" s="148"/>
      <c r="E31" s="148"/>
    </row>
    <row r="32" spans="1:12" ht="17.25" customHeight="1" x14ac:dyDescent="0.25">
      <c r="B32" s="147"/>
      <c r="C32" s="148"/>
      <c r="D32" s="148"/>
      <c r="E32" s="148"/>
    </row>
    <row r="33" spans="2:9" ht="17.25" customHeight="1" x14ac:dyDescent="0.25">
      <c r="B33" s="147"/>
      <c r="C33" s="148"/>
      <c r="D33" s="148"/>
      <c r="E33" s="148"/>
    </row>
    <row r="34" spans="2:9" ht="17.25" customHeight="1" x14ac:dyDescent="0.25">
      <c r="B34" s="147"/>
      <c r="C34" s="148"/>
      <c r="D34" s="148"/>
      <c r="E34" s="148"/>
    </row>
    <row r="35" spans="2:9" ht="17.25" customHeight="1" x14ac:dyDescent="0.25">
      <c r="B35" s="147"/>
      <c r="C35" s="148"/>
      <c r="D35" s="148"/>
      <c r="E35" s="148"/>
    </row>
    <row r="36" spans="2:9" ht="17.25" customHeight="1" x14ac:dyDescent="0.25">
      <c r="B36" s="147"/>
      <c r="C36" s="148"/>
      <c r="D36" s="148"/>
      <c r="E36" s="148"/>
    </row>
    <row r="37" spans="2:9" ht="17.25" customHeight="1" x14ac:dyDescent="0.25">
      <c r="B37" s="147"/>
      <c r="C37" s="148"/>
      <c r="D37" s="148"/>
      <c r="E37" s="148"/>
    </row>
    <row r="38" spans="2:9" ht="17.25" customHeight="1" x14ac:dyDescent="0.25">
      <c r="B38" s="147"/>
      <c r="C38" s="148"/>
      <c r="D38" s="148"/>
      <c r="E38" s="148"/>
    </row>
    <row r="39" spans="2:9" ht="17.25" customHeight="1" x14ac:dyDescent="0.25">
      <c r="B39" s="147"/>
      <c r="C39" s="148"/>
      <c r="D39" s="148"/>
      <c r="E39" s="148"/>
    </row>
    <row r="40" spans="2:9" ht="17.25" customHeight="1" x14ac:dyDescent="0.25">
      <c r="B40" s="147"/>
      <c r="C40" s="148"/>
      <c r="D40" s="148"/>
      <c r="E40" s="148"/>
    </row>
    <row r="41" spans="2:9" ht="17.25" customHeight="1" x14ac:dyDescent="0.25">
      <c r="B41" s="147"/>
      <c r="C41" s="148"/>
      <c r="D41" s="148"/>
      <c r="E41" s="148"/>
    </row>
    <row r="42" spans="2:9" ht="17.25" customHeight="1" x14ac:dyDescent="0.25">
      <c r="B42" s="147"/>
      <c r="C42" s="148"/>
      <c r="D42" s="148"/>
      <c r="E42" s="148"/>
    </row>
    <row r="43" spans="2:9" ht="17.25" customHeight="1" x14ac:dyDescent="0.25">
      <c r="B43" s="350"/>
      <c r="C43" s="148"/>
      <c r="D43" s="148"/>
      <c r="E43" s="148"/>
    </row>
    <row r="44" spans="2:9" ht="17.25" customHeight="1" x14ac:dyDescent="0.25">
      <c r="C44" s="146"/>
      <c r="D44" s="146"/>
    </row>
    <row r="45" spans="2:9" ht="51.75" customHeight="1" x14ac:dyDescent="0.25">
      <c r="B45" s="272" t="s">
        <v>123</v>
      </c>
      <c r="C45" s="272" t="s">
        <v>599</v>
      </c>
      <c r="D45" s="418" t="s">
        <v>400</v>
      </c>
      <c r="E45" s="150" t="s">
        <v>401</v>
      </c>
      <c r="F45" s="150" t="s">
        <v>402</v>
      </c>
      <c r="G45" s="330"/>
      <c r="I45" s="222"/>
    </row>
    <row r="46" spans="2:9" ht="21.75" customHeight="1" x14ac:dyDescent="0.25">
      <c r="B46" s="372" t="s">
        <v>15</v>
      </c>
      <c r="C46" s="345">
        <f>I28</f>
        <v>0</v>
      </c>
      <c r="D46" s="345">
        <v>100000</v>
      </c>
      <c r="E46" s="309" t="str">
        <f>IF(C46&gt;D46,"OUI","NON")</f>
        <v>NON</v>
      </c>
      <c r="F46" s="345" t="str">
        <f>IF(E46="OUI",C46,"-")</f>
        <v>-</v>
      </c>
      <c r="I46" s="222"/>
    </row>
    <row r="47" spans="2:9" ht="21.75" customHeight="1" x14ac:dyDescent="0.25">
      <c r="B47" s="373" t="s">
        <v>30</v>
      </c>
      <c r="C47" s="374">
        <f>I29</f>
        <v>0</v>
      </c>
      <c r="D47" s="374">
        <v>50000</v>
      </c>
      <c r="E47" s="501" t="str">
        <f>IF(C47&gt;D47,"OUI","NON")</f>
        <v>NON</v>
      </c>
      <c r="F47" s="374" t="str">
        <f t="shared" ref="F47:F58" si="0">IF(E47="OUI",C47,"-")</f>
        <v>-</v>
      </c>
      <c r="I47" s="222"/>
    </row>
    <row r="48" spans="2:9" ht="21.75" customHeight="1" x14ac:dyDescent="0.25">
      <c r="B48" s="373" t="s">
        <v>340</v>
      </c>
      <c r="C48" s="584">
        <f>VLOOKUP($B48,'Autres substances'!$B$6:$I$20,2,FALSE)</f>
        <v>0</v>
      </c>
      <c r="D48" s="584">
        <f>VLOOKUP($B48,'Autres substances'!$B$6:$F$20,4,FALSE)</f>
        <v>100000</v>
      </c>
      <c r="E48" s="585" t="str">
        <f>VLOOKUP($B48,'Autres substances'!$B$6:$F$20,5,FALSE)</f>
        <v>NON</v>
      </c>
      <c r="F48" s="374" t="str">
        <f t="shared" si="0"/>
        <v>-</v>
      </c>
    </row>
    <row r="49" spans="2:9" ht="21.75" customHeight="1" x14ac:dyDescent="0.25">
      <c r="B49" s="373" t="s">
        <v>341</v>
      </c>
      <c r="C49" s="584">
        <f>VLOOKUP($B49,'Autres substances'!$B$6:$I$20,2,FALSE)</f>
        <v>0</v>
      </c>
      <c r="D49" s="584">
        <f>VLOOKUP($B49,'Autres substances'!$B$6:$F$20,4,FALSE)</f>
        <v>10000000</v>
      </c>
      <c r="E49" s="585" t="str">
        <f>VLOOKUP($B49,'Autres substances'!$B$6:$F$20,5,FALSE)</f>
        <v>NON</v>
      </c>
      <c r="F49" s="374" t="str">
        <f t="shared" si="0"/>
        <v>-</v>
      </c>
    </row>
    <row r="50" spans="2:9" ht="21.75" customHeight="1" x14ac:dyDescent="0.25">
      <c r="B50" s="373" t="s">
        <v>10</v>
      </c>
      <c r="C50" s="584">
        <f>VLOOKUP($B50,'Autres substances'!$B$6:$I$20,2,FALSE)</f>
        <v>0</v>
      </c>
      <c r="D50" s="584">
        <f>VLOOKUP($B50,'Autres substances'!$B$6:$F$20,4,FALSE)</f>
        <v>500000</v>
      </c>
      <c r="E50" s="585" t="str">
        <f>VLOOKUP($B50,'Autres substances'!$B$6:$F$20,5,FALSE)</f>
        <v>NON</v>
      </c>
      <c r="F50" s="374" t="str">
        <f t="shared" si="0"/>
        <v>-</v>
      </c>
    </row>
    <row r="51" spans="2:9" ht="21.75" customHeight="1" x14ac:dyDescent="0.25">
      <c r="B51" s="373" t="s">
        <v>342</v>
      </c>
      <c r="C51" s="584">
        <f>VLOOKUP($B51,'Autres substances'!$B$6:$I$20,2,FALSE)</f>
        <v>0</v>
      </c>
      <c r="D51" s="584">
        <f>VLOOKUP($B51,'Autres substances'!$B$6:$F$20,4,FALSE)</f>
        <v>100000</v>
      </c>
      <c r="E51" s="585" t="str">
        <f>VLOOKUP($B51,'Autres substances'!$B$6:$F$20,5,FALSE)</f>
        <v>NON</v>
      </c>
      <c r="F51" s="374" t="str">
        <f t="shared" si="0"/>
        <v>-</v>
      </c>
    </row>
    <row r="52" spans="2:9" ht="21.75" customHeight="1" x14ac:dyDescent="0.25">
      <c r="B52" s="373" t="s">
        <v>343</v>
      </c>
      <c r="C52" s="584">
        <f>VLOOKUP($B52,'Autres substances'!$B$6:$I$20,2,FALSE)</f>
        <v>0</v>
      </c>
      <c r="D52" s="584">
        <f>VLOOKUP($B52,'Autres substances'!$B$6:$F$20,4,FALSE)</f>
        <v>150000</v>
      </c>
      <c r="E52" s="585" t="str">
        <f>VLOOKUP($B52,'Autres substances'!$B$6:$F$20,5,FALSE)</f>
        <v>NON</v>
      </c>
      <c r="F52" s="374" t="str">
        <f t="shared" si="0"/>
        <v>-</v>
      </c>
    </row>
    <row r="53" spans="2:9" ht="21.75" customHeight="1" x14ac:dyDescent="0.25">
      <c r="B53" s="373" t="s">
        <v>7</v>
      </c>
      <c r="C53" s="584">
        <f>VLOOKUP($B53,'Autres substances'!$B$6:$I$20,2,FALSE)</f>
        <v>0</v>
      </c>
      <c r="D53" s="584">
        <f>VLOOKUP($B53,'Autres substances'!$B$6:$F$20,4,FALSE)</f>
        <v>10</v>
      </c>
      <c r="E53" s="585" t="str">
        <f>VLOOKUP($B53,'Autres substances'!$B$6:$F$20,5,FALSE)</f>
        <v>NON</v>
      </c>
      <c r="F53" s="374" t="str">
        <f t="shared" si="0"/>
        <v>-</v>
      </c>
    </row>
    <row r="54" spans="2:9" ht="21.75" customHeight="1" x14ac:dyDescent="0.25">
      <c r="B54" s="373" t="s">
        <v>6</v>
      </c>
      <c r="C54" s="584">
        <f>VLOOKUP($B54,'Autres substances'!$B$6:$I$20,2,FALSE)</f>
        <v>0</v>
      </c>
      <c r="D54" s="584">
        <f>VLOOKUP($B54,'Autres substances'!$B$6:$F$20,4,FALSE)</f>
        <v>100</v>
      </c>
      <c r="E54" s="585" t="str">
        <f>VLOOKUP($B54,'Autres substances'!$B$6:$F$20,5,FALSE)</f>
        <v>NON</v>
      </c>
      <c r="F54" s="374" t="str">
        <f t="shared" si="0"/>
        <v>-</v>
      </c>
    </row>
    <row r="55" spans="2:9" ht="21.75" customHeight="1" x14ac:dyDescent="0.25">
      <c r="B55" s="373" t="s">
        <v>5</v>
      </c>
      <c r="C55" s="584">
        <f>VLOOKUP($B55,'Autres substances'!$B$6:$I$20,2,FALSE)</f>
        <v>0</v>
      </c>
      <c r="D55" s="584">
        <f>VLOOKUP($B55,'Autres substances'!$B$6:$F$20,4,FALSE)</f>
        <v>100</v>
      </c>
      <c r="E55" s="585" t="str">
        <f>VLOOKUP($B55,'Autres substances'!$B$6:$F$20,5,FALSE)</f>
        <v>NON</v>
      </c>
      <c r="F55" s="374" t="str">
        <f t="shared" si="0"/>
        <v>-</v>
      </c>
    </row>
    <row r="56" spans="2:9" ht="21.75" customHeight="1" x14ac:dyDescent="0.25">
      <c r="B56" s="373" t="s">
        <v>4</v>
      </c>
      <c r="C56" s="584">
        <f>VLOOKUP($B56,'Autres substances'!$B$6:$I$20,2,FALSE)</f>
        <v>0</v>
      </c>
      <c r="D56" s="584">
        <f>VLOOKUP($B56,'Autres substances'!$B$6:$F$20,4,FALSE)</f>
        <v>50</v>
      </c>
      <c r="E56" s="585" t="str">
        <f>VLOOKUP($B56,'Autres substances'!$B$6:$F$20,5,FALSE)</f>
        <v>NON</v>
      </c>
      <c r="F56" s="374" t="str">
        <f t="shared" si="0"/>
        <v>-</v>
      </c>
    </row>
    <row r="57" spans="2:9" ht="21.75" customHeight="1" x14ac:dyDescent="0.25">
      <c r="B57" s="373" t="s">
        <v>0</v>
      </c>
      <c r="C57" s="584">
        <f>VLOOKUP($B57,'Autres substances'!$B$6:$I$20,2,FALSE)</f>
        <v>0</v>
      </c>
      <c r="D57" s="584">
        <f>VLOOKUP($B57,'Autres substances'!$B$6:$F$20,4,FALSE)</f>
        <v>200</v>
      </c>
      <c r="E57" s="585" t="str">
        <f>VLOOKUP($B57,'Autres substances'!$B$6:$F$20,5,FALSE)</f>
        <v>NON</v>
      </c>
      <c r="F57" s="374" t="str">
        <f t="shared" si="0"/>
        <v>-</v>
      </c>
      <c r="I57" s="222"/>
    </row>
    <row r="58" spans="2:9" ht="21.75" customHeight="1" x14ac:dyDescent="0.25">
      <c r="B58" s="588" t="s">
        <v>574</v>
      </c>
      <c r="C58" s="586">
        <f>VLOOKUP($B58,'Autres substances'!$B$6:$I$20,2,FALSE)</f>
        <v>0</v>
      </c>
      <c r="D58" s="586">
        <f>VLOOKUP($B58,'Autres substances'!$B$6:$F$20,4,FALSE)</f>
        <v>3000</v>
      </c>
      <c r="E58" s="587" t="str">
        <f>VLOOKUP($B58,'Autres substances'!$B$6:$F$20,5,FALSE)</f>
        <v>NON</v>
      </c>
      <c r="F58" s="586" t="str">
        <f t="shared" si="0"/>
        <v>-</v>
      </c>
      <c r="I58" s="222"/>
    </row>
    <row r="59" spans="2:9" ht="17.25" customHeight="1" x14ac:dyDescent="0.25">
      <c r="C59" s="146"/>
      <c r="D59" s="146"/>
    </row>
    <row r="60" spans="2:9" ht="17.25" customHeight="1" x14ac:dyDescent="0.25">
      <c r="B60" s="331"/>
      <c r="C60" s="146"/>
      <c r="D60" s="146"/>
    </row>
    <row r="61" spans="2:9" ht="32.25" customHeight="1" x14ac:dyDescent="0.25">
      <c r="B61" s="334" t="s">
        <v>40</v>
      </c>
      <c r="C61" s="306" t="s">
        <v>41</v>
      </c>
      <c r="D61" s="150" t="s">
        <v>46</v>
      </c>
      <c r="E61" s="306" t="s">
        <v>293</v>
      </c>
    </row>
    <row r="62" spans="2:9" ht="32.25" customHeight="1" x14ac:dyDescent="0.25">
      <c r="B62" s="387" t="s">
        <v>119</v>
      </c>
      <c r="C62" s="388" t="str">
        <f>IF(C10="Granulats - Recyclage","NON CONCERNE","")</f>
        <v/>
      </c>
      <c r="D62" s="388" t="str">
        <f>IF(C10="Granulats - Recyclage","NON CONCERNE","")</f>
        <v/>
      </c>
    </row>
    <row r="63" spans="2:9" ht="32.25" customHeight="1" x14ac:dyDescent="0.25">
      <c r="B63" s="275" t="s">
        <v>313</v>
      </c>
      <c r="C63" s="351" t="s">
        <v>37</v>
      </c>
      <c r="D63" s="352"/>
      <c r="E63" s="335" t="e">
        <f>IF($C$20="X",IF(ISBLANK(D63),"veuillez indiquer une valeur","OK"),IF(ISBLANK(D63),"OK","Attention cette activité ne vous concerne pas"))</f>
        <v>#N/A</v>
      </c>
    </row>
    <row r="64" spans="2:9" ht="32.25" customHeight="1" x14ac:dyDescent="0.25">
      <c r="B64" s="353" t="s">
        <v>44</v>
      </c>
      <c r="C64" s="337" t="s">
        <v>1</v>
      </c>
      <c r="D64" s="354"/>
      <c r="E64" s="335" t="e">
        <f>IF($C$20="X",IF(ISBLANK(D64),"veuillez indiquer une valeur","OK"),IF(ISBLANK(D64),"OK","Attention cette activité ne vous concerne pas"))</f>
        <v>#N/A</v>
      </c>
    </row>
    <row r="65" spans="2:10" ht="32.25" customHeight="1" x14ac:dyDescent="0.25">
      <c r="B65" s="353" t="s">
        <v>45</v>
      </c>
      <c r="C65" s="337" t="s">
        <v>1</v>
      </c>
      <c r="D65" s="354"/>
      <c r="E65" s="335" t="e">
        <f>IF($C$20="X",IF(ISBLANK(D65),"veuillez indiquer une valeur","OK"),IF(ISBLANK(D65),"OK","Attention cette activité ne vous concerne pas"))</f>
        <v>#N/A</v>
      </c>
    </row>
    <row r="66" spans="2:10" ht="32.25" customHeight="1" x14ac:dyDescent="0.25">
      <c r="B66" s="353" t="s">
        <v>334</v>
      </c>
      <c r="C66" s="337" t="s">
        <v>344</v>
      </c>
      <c r="D66" s="354"/>
      <c r="E66" s="335" t="e">
        <f>IF($C$20="X",IF(ISBLANK(D66),"veuillez indiquer une valeur","OK"),IF(ISBLANK(D66),"OK","Attention cette activité ne vous concerne pas"))</f>
        <v>#N/A</v>
      </c>
    </row>
    <row r="67" spans="2:10" ht="32.25" customHeight="1" x14ac:dyDescent="0.25">
      <c r="B67" s="275" t="s">
        <v>510</v>
      </c>
      <c r="C67" s="337" t="s">
        <v>1</v>
      </c>
      <c r="D67" s="352"/>
      <c r="E67" s="335" t="e">
        <f>IF($C$20="X",IF(ISBLANK(D67),"veuillez indiquer une valeur","OK"),IF(ISBLANK(D67),"OK","Attention cette activité ne vous concerne pas"))</f>
        <v>#N/A</v>
      </c>
    </row>
    <row r="68" spans="2:10" s="139" customFormat="1" ht="32.25" customHeight="1" x14ac:dyDescent="0.2">
      <c r="B68" s="389" t="s">
        <v>414</v>
      </c>
      <c r="C68" s="390"/>
      <c r="D68" s="391"/>
      <c r="H68" s="141"/>
      <c r="I68" s="142"/>
      <c r="J68" s="143"/>
    </row>
    <row r="69" spans="2:10" s="139" customFormat="1" ht="32.25" customHeight="1" x14ac:dyDescent="0.2">
      <c r="B69" s="436" t="s">
        <v>456</v>
      </c>
      <c r="C69" s="434"/>
      <c r="D69" s="435"/>
      <c r="H69" s="141"/>
      <c r="I69" s="142"/>
      <c r="J69" s="143"/>
    </row>
    <row r="70" spans="2:10" s="139" customFormat="1" ht="32.25" customHeight="1" x14ac:dyDescent="0.2">
      <c r="B70" s="353" t="s">
        <v>458</v>
      </c>
      <c r="C70" s="310" t="s">
        <v>195</v>
      </c>
      <c r="D70" s="357"/>
      <c r="E70" s="335" t="str">
        <f>IF(ISBLANK(D70),"veuillez indiquer une valeur","OK")</f>
        <v>veuillez indiquer une valeur</v>
      </c>
      <c r="H70" s="141"/>
      <c r="I70" s="142"/>
      <c r="J70" s="143"/>
    </row>
    <row r="71" spans="2:10" s="139" customFormat="1" ht="32.25" customHeight="1" x14ac:dyDescent="0.2">
      <c r="B71" s="353" t="s">
        <v>459</v>
      </c>
      <c r="C71" s="310" t="s">
        <v>403</v>
      </c>
      <c r="D71" s="487"/>
      <c r="E71" s="335" t="str">
        <f>IF(AND(D70="OUI",D71&lt;&gt;0),"OK",IF(AND(D70="OUI",D71=0),"veuillez indiquer une valeur",IF(AND(D70="NON",D71&lt;&gt;0),"veuillez effacer la valeur","OK")))</f>
        <v>OK</v>
      </c>
      <c r="H71" s="141"/>
      <c r="I71" s="142"/>
      <c r="J71" s="143"/>
    </row>
    <row r="72" spans="2:10" s="139" customFormat="1" ht="32.25" customHeight="1" x14ac:dyDescent="0.2">
      <c r="B72" s="412" t="s">
        <v>460</v>
      </c>
      <c r="C72" s="413" t="s">
        <v>403</v>
      </c>
      <c r="D72" s="487"/>
      <c r="E72" s="335" t="str">
        <f>IF(AND(D70="OUI",D72&lt;&gt;0),"OK",IF(AND(D70="OUI",D72=0),"veuillez indiquer une valeur",IF(AND(D70="NON",D72&lt;&gt;0),"veuillez effacer la valeur","OK")))</f>
        <v>OK</v>
      </c>
      <c r="H72" s="141"/>
      <c r="I72" s="142"/>
      <c r="J72" s="143"/>
    </row>
    <row r="73" spans="2:10" s="139" customFormat="1" ht="32.25" customHeight="1" x14ac:dyDescent="0.2">
      <c r="B73" s="436" t="s">
        <v>457</v>
      </c>
      <c r="C73" s="434"/>
      <c r="D73" s="435"/>
      <c r="E73" s="335"/>
      <c r="H73" s="141"/>
      <c r="I73" s="142"/>
      <c r="J73" s="143"/>
    </row>
    <row r="74" spans="2:10" s="139" customFormat="1" ht="32.25" customHeight="1" x14ac:dyDescent="0.2">
      <c r="B74" s="275" t="s">
        <v>73</v>
      </c>
      <c r="C74" s="356" t="s">
        <v>187</v>
      </c>
      <c r="D74" s="357"/>
      <c r="E74" s="335" t="e">
        <f t="shared" ref="E74:E81" si="1">IF($C$21="X",IF(ISBLANK(D74),"veuillez indiquer une valeur","OK"),IF(ISBLANK(D74),"OK","Attention cette activité ne vous concerne pas"))</f>
        <v>#N/A</v>
      </c>
      <c r="F74" s="330"/>
      <c r="H74" s="141"/>
      <c r="I74" s="142"/>
      <c r="J74" s="143"/>
    </row>
    <row r="75" spans="2:10" s="139" customFormat="1" ht="32.25" customHeight="1" x14ac:dyDescent="0.2">
      <c r="B75" s="353" t="s">
        <v>72</v>
      </c>
      <c r="C75" s="358" t="s">
        <v>37</v>
      </c>
      <c r="D75" s="502"/>
      <c r="E75" s="335" t="e">
        <f t="shared" si="1"/>
        <v>#N/A</v>
      </c>
      <c r="F75" s="330"/>
      <c r="H75" s="141"/>
      <c r="I75" s="142"/>
      <c r="J75" s="143"/>
    </row>
    <row r="76" spans="2:10" s="139" customFormat="1" ht="32.25" customHeight="1" x14ac:dyDescent="0.2">
      <c r="B76" s="381" t="s">
        <v>461</v>
      </c>
      <c r="C76" s="337" t="s">
        <v>1</v>
      </c>
      <c r="D76" s="354"/>
      <c r="E76" s="335" t="e">
        <f t="shared" si="1"/>
        <v>#N/A</v>
      </c>
      <c r="F76" s="359"/>
      <c r="H76" s="141"/>
      <c r="I76" s="142"/>
      <c r="J76" s="143"/>
    </row>
    <row r="77" spans="2:10" s="139" customFormat="1" ht="32.25" customHeight="1" x14ac:dyDescent="0.2">
      <c r="B77" s="382" t="s">
        <v>462</v>
      </c>
      <c r="C77" s="337" t="s">
        <v>1</v>
      </c>
      <c r="D77" s="354"/>
      <c r="E77" s="335" t="e">
        <f t="shared" si="1"/>
        <v>#N/A</v>
      </c>
      <c r="H77" s="141"/>
      <c r="I77" s="142"/>
      <c r="J77" s="143"/>
    </row>
    <row r="78" spans="2:10" s="139" customFormat="1" ht="32.25" customHeight="1" x14ac:dyDescent="0.2">
      <c r="B78" s="383" t="s">
        <v>463</v>
      </c>
      <c r="C78" s="337" t="s">
        <v>1</v>
      </c>
      <c r="D78" s="354"/>
      <c r="E78" s="335" t="e">
        <f t="shared" si="1"/>
        <v>#N/A</v>
      </c>
      <c r="F78" s="146"/>
      <c r="H78" s="141"/>
      <c r="I78" s="142"/>
      <c r="J78" s="143"/>
    </row>
    <row r="79" spans="2:10" s="139" customFormat="1" ht="32.25" customHeight="1" x14ac:dyDescent="0.2">
      <c r="B79" s="385" t="s">
        <v>464</v>
      </c>
      <c r="C79" s="360" t="s">
        <v>1</v>
      </c>
      <c r="D79" s="354"/>
      <c r="E79" s="335" t="e">
        <f t="shared" si="1"/>
        <v>#N/A</v>
      </c>
      <c r="F79" s="359"/>
      <c r="H79" s="141"/>
      <c r="I79" s="142"/>
      <c r="J79" s="143"/>
    </row>
    <row r="80" spans="2:10" s="139" customFormat="1" ht="32.25" customHeight="1" x14ac:dyDescent="0.2">
      <c r="B80" s="384" t="s">
        <v>465</v>
      </c>
      <c r="C80" s="360" t="s">
        <v>1</v>
      </c>
      <c r="D80" s="354"/>
      <c r="E80" s="335" t="e">
        <f t="shared" si="1"/>
        <v>#N/A</v>
      </c>
      <c r="H80" s="141"/>
      <c r="I80" s="142"/>
      <c r="J80" s="143"/>
    </row>
    <row r="81" spans="2:10" s="139" customFormat="1" ht="32.25" customHeight="1" x14ac:dyDescent="0.2">
      <c r="B81" s="386" t="s">
        <v>466</v>
      </c>
      <c r="C81" s="361" t="s">
        <v>1</v>
      </c>
      <c r="D81" s="362"/>
      <c r="E81" s="335" t="e">
        <f t="shared" si="1"/>
        <v>#N/A</v>
      </c>
      <c r="H81" s="141"/>
      <c r="I81" s="142"/>
      <c r="J81" s="143"/>
    </row>
    <row r="82" spans="2:10" s="139" customFormat="1" ht="32.25" customHeight="1" x14ac:dyDescent="0.2">
      <c r="B82" s="741" t="s">
        <v>345</v>
      </c>
      <c r="C82" s="742"/>
      <c r="D82" s="742"/>
      <c r="E82" s="743"/>
      <c r="H82" s="141"/>
      <c r="I82" s="142"/>
      <c r="J82" s="143"/>
    </row>
    <row r="83" spans="2:10" s="139" customFormat="1" ht="32.25" customHeight="1" x14ac:dyDescent="0.2">
      <c r="B83" s="363" t="s">
        <v>125</v>
      </c>
      <c r="C83" s="306" t="s">
        <v>350</v>
      </c>
      <c r="D83" s="306" t="s">
        <v>440</v>
      </c>
      <c r="E83" s="150" t="s">
        <v>359</v>
      </c>
      <c r="F83" s="306" t="s">
        <v>293</v>
      </c>
      <c r="G83" s="142"/>
      <c r="H83" s="143"/>
    </row>
    <row r="84" spans="2:10" s="139" customFormat="1" ht="32.25" customHeight="1" x14ac:dyDescent="0.2">
      <c r="B84" s="378">
        <v>1</v>
      </c>
      <c r="C84" s="364" t="s">
        <v>64</v>
      </c>
      <c r="D84" s="364" t="s">
        <v>64</v>
      </c>
      <c r="E84" s="364" t="s">
        <v>64</v>
      </c>
      <c r="F84" s="510" t="str">
        <f>IF(OR(B84&lt;=$D$76,AND(B84&gt;$D$76,C84&amp;D84&amp;E84="NONNONNON")),IF(ISNA(VLOOKUP(C84&amp;D84&amp;E84,'Fiche n°2 - Traitement'!$B$271:$G$288,6,FALSE)),"veuillez indiquer une valeur",VLOOKUP(C84&amp;D84&amp;E84,'Fiche n°2 - Traitement'!$B$271:$G$288,6,FALSE)),"Ce concasseur ne devrait pas être utilisé et les valeurs devraient être ''NON'', ''NON'' et ''NON''")</f>
        <v>OK</v>
      </c>
      <c r="G84" s="749" t="s">
        <v>412</v>
      </c>
      <c r="H84" s="143"/>
    </row>
    <row r="85" spans="2:10" s="139" customFormat="1" ht="32.25" customHeight="1" x14ac:dyDescent="0.2">
      <c r="B85" s="378">
        <v>2</v>
      </c>
      <c r="C85" s="364" t="s">
        <v>64</v>
      </c>
      <c r="D85" s="364" t="s">
        <v>64</v>
      </c>
      <c r="E85" s="364" t="s">
        <v>64</v>
      </c>
      <c r="F85" s="510" t="str">
        <f>IF(OR(B85&lt;=$D$76,AND(B85&gt;$D$76,C85&amp;D85&amp;E85="NONNONNON")),IF(ISNA(VLOOKUP(C85&amp;D85&amp;E85,'Fiche n°2 - Traitement'!$B$271:$G$288,6,FALSE)),"veuillez indiquer une valeur",VLOOKUP(C85&amp;D85&amp;E85,'Fiche n°2 - Traitement'!$B$271:$G$288,6,FALSE)),"Ce concasseur ne devrait pas être utilisé et les valeurs devraient être ''NON'', ''NON'' et ''NON''")</f>
        <v>OK</v>
      </c>
      <c r="G85" s="750"/>
      <c r="H85" s="143"/>
    </row>
    <row r="86" spans="2:10" s="139" customFormat="1" ht="32.25" customHeight="1" x14ac:dyDescent="0.2">
      <c r="B86" s="378">
        <v>3</v>
      </c>
      <c r="C86" s="364" t="s">
        <v>64</v>
      </c>
      <c r="D86" s="364" t="s">
        <v>64</v>
      </c>
      <c r="E86" s="364" t="s">
        <v>64</v>
      </c>
      <c r="F86" s="510" t="str">
        <f>IF(OR(B86&lt;=$D$76,AND(B86&gt;$D$76,C86&amp;D86&amp;E86="NONNONNON")),IF(ISNA(VLOOKUP(C86&amp;D86&amp;E86,'Fiche n°2 - Traitement'!$B$271:$G$288,6,FALSE)),"veuillez indiquer une valeur",VLOOKUP(C86&amp;D86&amp;E86,'Fiche n°2 - Traitement'!$B$271:$G$288,6,FALSE)),"Ce concasseur ne devrait pas être utilisé et les valeurs devraient être ''NON'', ''NON'' et ''NON''")</f>
        <v>OK</v>
      </c>
      <c r="G86" s="750"/>
      <c r="H86" s="143"/>
    </row>
    <row r="87" spans="2:10" s="139" customFormat="1" ht="32.25" customHeight="1" x14ac:dyDescent="0.2">
      <c r="B87" s="378">
        <v>4</v>
      </c>
      <c r="C87" s="364" t="s">
        <v>64</v>
      </c>
      <c r="D87" s="364" t="s">
        <v>64</v>
      </c>
      <c r="E87" s="364" t="s">
        <v>64</v>
      </c>
      <c r="F87" s="510" t="str">
        <f>IF(OR(B87&lt;=$D$76,AND(B87&gt;$D$76,C87&amp;D87&amp;E87="NONNONNON")),IF(ISNA(VLOOKUP(C87&amp;D87&amp;E87,'Fiche n°2 - Traitement'!$B$271:$G$288,6,FALSE)),"veuillez indiquer une valeur",VLOOKUP(C87&amp;D87&amp;E87,'Fiche n°2 - Traitement'!$B$271:$G$288,6,FALSE)),"Ce concasseur ne devrait pas être utilisé et les valeurs devraient être ''NON'', ''NON'' et ''NON''")</f>
        <v>OK</v>
      </c>
      <c r="G87" s="750"/>
      <c r="H87" s="143"/>
    </row>
    <row r="88" spans="2:10" s="139" customFormat="1" ht="32.25" customHeight="1" x14ac:dyDescent="0.2">
      <c r="B88" s="378">
        <v>5</v>
      </c>
      <c r="C88" s="364" t="s">
        <v>64</v>
      </c>
      <c r="D88" s="364" t="s">
        <v>64</v>
      </c>
      <c r="E88" s="364" t="s">
        <v>64</v>
      </c>
      <c r="F88" s="510" t="str">
        <f>IF(OR(B88&lt;=$D$76,AND(B88&gt;$D$76,C88&amp;D88&amp;E88="NONNONNON")),IF(ISNA(VLOOKUP(C88&amp;D88&amp;E88,'Fiche n°2 - Traitement'!$B$271:$G$288,6,FALSE)),"veuillez indiquer une valeur",VLOOKUP(C88&amp;D88&amp;E88,'Fiche n°2 - Traitement'!$B$271:$G$288,6,FALSE)),"Ce concasseur ne devrait pas être utilisé et les valeurs devraient être ''NON'', ''NON'' et ''NON''")</f>
        <v>OK</v>
      </c>
      <c r="G88" s="750"/>
      <c r="H88" s="143"/>
    </row>
    <row r="89" spans="2:10" s="139" customFormat="1" ht="32.25" customHeight="1" x14ac:dyDescent="0.2">
      <c r="B89" s="378">
        <v>6</v>
      </c>
      <c r="C89" s="364" t="s">
        <v>64</v>
      </c>
      <c r="D89" s="364" t="s">
        <v>64</v>
      </c>
      <c r="E89" s="364" t="s">
        <v>64</v>
      </c>
      <c r="F89" s="510" t="str">
        <f>IF(OR(B89&lt;=$D$76,AND(B89&gt;$D$76,C89&amp;D89&amp;E89="NONNONNON")),IF(ISNA(VLOOKUP(C89&amp;D89&amp;E89,'Fiche n°2 - Traitement'!$B$271:$G$288,6,FALSE)),"veuillez indiquer une valeur",VLOOKUP(C89&amp;D89&amp;E89,'Fiche n°2 - Traitement'!$B$271:$G$288,6,FALSE)),"Ce concasseur ne devrait pas être utilisé et les valeurs devraient être ''NON'', ''NON'' et ''NON''")</f>
        <v>OK</v>
      </c>
      <c r="G89" s="750"/>
      <c r="H89" s="143"/>
    </row>
    <row r="90" spans="2:10" s="139" customFormat="1" ht="32.25" customHeight="1" x14ac:dyDescent="0.2">
      <c r="B90" s="378">
        <v>7</v>
      </c>
      <c r="C90" s="364" t="s">
        <v>64</v>
      </c>
      <c r="D90" s="364" t="s">
        <v>64</v>
      </c>
      <c r="E90" s="364" t="s">
        <v>64</v>
      </c>
      <c r="F90" s="510" t="str">
        <f>IF(OR(B90&lt;=$D$76,AND(B90&gt;$D$76,C90&amp;D90&amp;E90="NONNONNON")),IF(ISNA(VLOOKUP(C90&amp;D90&amp;E90,'Fiche n°2 - Traitement'!$B$271:$G$288,6,FALSE)),"veuillez indiquer une valeur",VLOOKUP(C90&amp;D90&amp;E90,'Fiche n°2 - Traitement'!$B$271:$G$288,6,FALSE)),"Ce concasseur ne devrait pas être utilisé et les valeurs devraient être ''NON'', ''NON'' et ''NON''")</f>
        <v>OK</v>
      </c>
      <c r="G90" s="750"/>
      <c r="H90" s="143"/>
    </row>
    <row r="91" spans="2:10" s="139" customFormat="1" ht="32.25" customHeight="1" x14ac:dyDescent="0.2">
      <c r="B91" s="378">
        <v>8</v>
      </c>
      <c r="C91" s="364" t="s">
        <v>64</v>
      </c>
      <c r="D91" s="364" t="s">
        <v>64</v>
      </c>
      <c r="E91" s="364" t="s">
        <v>64</v>
      </c>
      <c r="F91" s="510" t="str">
        <f>IF(OR(B91&lt;=$D$76,AND(B91&gt;$D$76,C91&amp;D91&amp;E91="NONNONNON")),IF(ISNA(VLOOKUP(C91&amp;D91&amp;E91,'Fiche n°2 - Traitement'!$B$271:$G$288,6,FALSE)),"veuillez indiquer une valeur",VLOOKUP(C91&amp;D91&amp;E91,'Fiche n°2 - Traitement'!$B$271:$G$288,6,FALSE)),"Ce concasseur ne devrait pas être utilisé et les valeurs devraient être ''NON'', ''NON'' et ''NON''")</f>
        <v>OK</v>
      </c>
      <c r="G91" s="750"/>
      <c r="H91" s="143"/>
    </row>
    <row r="92" spans="2:10" s="139" customFormat="1" ht="32.25" customHeight="1" x14ac:dyDescent="0.2">
      <c r="B92" s="378">
        <v>9</v>
      </c>
      <c r="C92" s="364" t="s">
        <v>64</v>
      </c>
      <c r="D92" s="364" t="s">
        <v>64</v>
      </c>
      <c r="E92" s="364" t="s">
        <v>64</v>
      </c>
      <c r="F92" s="510" t="str">
        <f>IF(OR(B92&lt;=$D$76,AND(B92&gt;$D$76,C92&amp;D92&amp;E92="NONNONNON")),IF(ISNA(VLOOKUP(C92&amp;D92&amp;E92,'Fiche n°2 - Traitement'!$B$271:$G$288,6,FALSE)),"veuillez indiquer une valeur",VLOOKUP(C92&amp;D92&amp;E92,'Fiche n°2 - Traitement'!$B$271:$G$288,6,FALSE)),"Ce concasseur ne devrait pas être utilisé et les valeurs devraient être ''NON'', ''NON'' et ''NON''")</f>
        <v>OK</v>
      </c>
      <c r="G92" s="750"/>
      <c r="H92" s="143"/>
    </row>
    <row r="93" spans="2:10" s="139" customFormat="1" ht="32.25" customHeight="1" x14ac:dyDescent="0.2">
      <c r="B93" s="378">
        <v>10</v>
      </c>
      <c r="C93" s="364" t="s">
        <v>64</v>
      </c>
      <c r="D93" s="364" t="s">
        <v>64</v>
      </c>
      <c r="E93" s="364" t="s">
        <v>64</v>
      </c>
      <c r="F93" s="510" t="str">
        <f>IF(OR(B93&lt;=$D$76,AND(B93&gt;$D$76,C93&amp;D93&amp;E93="NONNONNON")),IF(ISNA(VLOOKUP(C93&amp;D93&amp;E93,'Fiche n°2 - Traitement'!$B$271:$G$288,6,FALSE)),"veuillez indiquer une valeur",VLOOKUP(C93&amp;D93&amp;E93,'Fiche n°2 - Traitement'!$B$271:$G$288,6,FALSE)),"Ce concasseur ne devrait pas être utilisé et les valeurs devraient être ''NON'', ''NON'' et ''NON''")</f>
        <v>OK</v>
      </c>
      <c r="G93" s="751"/>
      <c r="H93" s="143"/>
    </row>
    <row r="94" spans="2:10" s="139" customFormat="1" ht="32.25" customHeight="1" x14ac:dyDescent="0.2">
      <c r="B94" s="363" t="s">
        <v>126</v>
      </c>
      <c r="C94" s="306" t="s">
        <v>350</v>
      </c>
      <c r="D94" s="306" t="s">
        <v>440</v>
      </c>
      <c r="E94" s="150" t="s">
        <v>359</v>
      </c>
      <c r="F94" s="306" t="s">
        <v>293</v>
      </c>
      <c r="G94" s="142"/>
      <c r="H94" s="143"/>
    </row>
    <row r="95" spans="2:10" s="139" customFormat="1" ht="32.25" customHeight="1" x14ac:dyDescent="0.2">
      <c r="B95" s="379">
        <v>1</v>
      </c>
      <c r="C95" s="364" t="s">
        <v>64</v>
      </c>
      <c r="D95" s="364" t="s">
        <v>64</v>
      </c>
      <c r="E95" s="364" t="s">
        <v>64</v>
      </c>
      <c r="F95" s="510" t="str">
        <f>IF(OR(B95&lt;=$D$77,AND(B95&gt;$D$77,C95&amp;D95&amp;E95="NONNONNON")),IF(ISNA(VLOOKUP(C95&amp;D95&amp;E95,'Fiche n°2 - Traitement'!$B$271:$G$288,6,FALSE)),"veuillez indiquer une valeur",VLOOKUP(C95&amp;D95&amp;E95,'Fiche n°2 - Traitement'!$B$271:$G$288,6,FALSE)),"Ce concasseur ne devrait pas être utilisé et les valeurs devraient être ''NON'', ''NON'' et ''NON''")</f>
        <v>OK</v>
      </c>
      <c r="G95" s="749" t="s">
        <v>412</v>
      </c>
      <c r="H95" s="143"/>
    </row>
    <row r="96" spans="2:10" s="139" customFormat="1" ht="32.25" customHeight="1" x14ac:dyDescent="0.2">
      <c r="B96" s="379">
        <v>2</v>
      </c>
      <c r="C96" s="364" t="s">
        <v>64</v>
      </c>
      <c r="D96" s="364" t="s">
        <v>64</v>
      </c>
      <c r="E96" s="364" t="s">
        <v>64</v>
      </c>
      <c r="F96" s="510" t="str">
        <f>IF(OR(B96&lt;=$D$77,AND(B96&gt;$D$77,C96&amp;D96&amp;E96="NONNONNON")),IF(ISNA(VLOOKUP(C96&amp;D96&amp;E96,'Fiche n°2 - Traitement'!$B$271:$G$288,6,FALSE)),"veuillez indiquer une valeur",VLOOKUP(C96&amp;D96&amp;E96,'Fiche n°2 - Traitement'!$B$271:$G$288,6,FALSE)),"Ce concasseur ne devrait pas être utilisé et les valeurs devraient être ''NON'', ''NON'' et ''NON''")</f>
        <v>OK</v>
      </c>
      <c r="G96" s="750"/>
      <c r="H96" s="143"/>
    </row>
    <row r="97" spans="2:8" s="139" customFormat="1" ht="32.25" customHeight="1" x14ac:dyDescent="0.2">
      <c r="B97" s="379">
        <v>3</v>
      </c>
      <c r="C97" s="364" t="s">
        <v>64</v>
      </c>
      <c r="D97" s="364" t="s">
        <v>64</v>
      </c>
      <c r="E97" s="364" t="s">
        <v>64</v>
      </c>
      <c r="F97" s="510" t="str">
        <f>IF(OR(B97&lt;=$D$77,AND(B97&gt;$D$77,C97&amp;D97&amp;E97="NONNONNON")),IF(ISNA(VLOOKUP(C97&amp;D97&amp;E97,'Fiche n°2 - Traitement'!$B$271:$G$288,6,FALSE)),"veuillez indiquer une valeur",VLOOKUP(C97&amp;D97&amp;E97,'Fiche n°2 - Traitement'!$B$271:$G$288,6,FALSE)),"Ce concasseur ne devrait pas être utilisé et les valeurs devraient être ''NON'', ''NON'' et ''NON''")</f>
        <v>OK</v>
      </c>
      <c r="G97" s="750"/>
      <c r="H97" s="143"/>
    </row>
    <row r="98" spans="2:8" s="139" customFormat="1" ht="32.25" customHeight="1" x14ac:dyDescent="0.2">
      <c r="B98" s="379">
        <v>4</v>
      </c>
      <c r="C98" s="364" t="s">
        <v>64</v>
      </c>
      <c r="D98" s="364" t="s">
        <v>64</v>
      </c>
      <c r="E98" s="364" t="s">
        <v>64</v>
      </c>
      <c r="F98" s="510" t="str">
        <f>IF(OR(B98&lt;=$D$77,AND(B98&gt;$D$77,C98&amp;D98&amp;E98="NONNONNON")),IF(ISNA(VLOOKUP(C98&amp;D98&amp;E98,'Fiche n°2 - Traitement'!$B$271:$G$288,6,FALSE)),"veuillez indiquer une valeur",VLOOKUP(C98&amp;D98&amp;E98,'Fiche n°2 - Traitement'!$B$271:$G$288,6,FALSE)),"Ce concasseur ne devrait pas être utilisé et les valeurs devraient être ''NON'', ''NON'' et ''NON''")</f>
        <v>OK</v>
      </c>
      <c r="G98" s="750"/>
      <c r="H98" s="143"/>
    </row>
    <row r="99" spans="2:8" s="139" customFormat="1" ht="32.25" customHeight="1" x14ac:dyDescent="0.2">
      <c r="B99" s="379">
        <v>5</v>
      </c>
      <c r="C99" s="364" t="s">
        <v>64</v>
      </c>
      <c r="D99" s="364" t="s">
        <v>64</v>
      </c>
      <c r="E99" s="364" t="s">
        <v>64</v>
      </c>
      <c r="F99" s="510" t="str">
        <f>IF(OR(B99&lt;=$D$77,AND(B99&gt;$D$77,C99&amp;D99&amp;E99="NONNONNON")),IF(ISNA(VLOOKUP(C99&amp;D99&amp;E99,'Fiche n°2 - Traitement'!$B$271:$G$288,6,FALSE)),"veuillez indiquer une valeur",VLOOKUP(C99&amp;D99&amp;E99,'Fiche n°2 - Traitement'!$B$271:$G$288,6,FALSE)),"Ce concasseur ne devrait pas être utilisé et les valeurs devraient être ''NON'', ''NON'' et ''NON''")</f>
        <v>OK</v>
      </c>
      <c r="G99" s="750"/>
      <c r="H99" s="143"/>
    </row>
    <row r="100" spans="2:8" s="139" customFormat="1" ht="32.25" customHeight="1" x14ac:dyDescent="0.2">
      <c r="B100" s="379">
        <v>6</v>
      </c>
      <c r="C100" s="364" t="s">
        <v>64</v>
      </c>
      <c r="D100" s="364" t="s">
        <v>64</v>
      </c>
      <c r="E100" s="364" t="s">
        <v>64</v>
      </c>
      <c r="F100" s="510" t="str">
        <f>IF(OR(B100&lt;=$D$77,AND(B100&gt;$D$77,C100&amp;D100&amp;E100="NONNONNON")),IF(ISNA(VLOOKUP(C100&amp;D100&amp;E100,'Fiche n°2 - Traitement'!$B$271:$G$288,6,FALSE)),"veuillez indiquer une valeur",VLOOKUP(C100&amp;D100&amp;E100,'Fiche n°2 - Traitement'!$B$271:$G$288,6,FALSE)),"Ce concasseur ne devrait pas être utilisé et les valeurs devraient être ''NON'', ''NON'' et ''NON''")</f>
        <v>OK</v>
      </c>
      <c r="G100" s="750"/>
      <c r="H100" s="143"/>
    </row>
    <row r="101" spans="2:8" s="139" customFormat="1" ht="32.25" customHeight="1" x14ac:dyDescent="0.2">
      <c r="B101" s="379">
        <v>7</v>
      </c>
      <c r="C101" s="364" t="s">
        <v>64</v>
      </c>
      <c r="D101" s="364" t="s">
        <v>64</v>
      </c>
      <c r="E101" s="364" t="s">
        <v>64</v>
      </c>
      <c r="F101" s="510" t="str">
        <f>IF(OR(B101&lt;=$D$77,AND(B101&gt;$D$77,C101&amp;D101&amp;E101="NONNONNON")),IF(ISNA(VLOOKUP(C101&amp;D101&amp;E101,'Fiche n°2 - Traitement'!$B$271:$G$288,6,FALSE)),"veuillez indiquer une valeur",VLOOKUP(C101&amp;D101&amp;E101,'Fiche n°2 - Traitement'!$B$271:$G$288,6,FALSE)),"Ce concasseur ne devrait pas être utilisé et les valeurs devraient être ''NON'', ''NON'' et ''NON''")</f>
        <v>OK</v>
      </c>
      <c r="G101" s="750"/>
      <c r="H101" s="143"/>
    </row>
    <row r="102" spans="2:8" s="139" customFormat="1" ht="32.25" customHeight="1" x14ac:dyDescent="0.2">
      <c r="B102" s="379">
        <v>8</v>
      </c>
      <c r="C102" s="364" t="s">
        <v>64</v>
      </c>
      <c r="D102" s="364" t="s">
        <v>64</v>
      </c>
      <c r="E102" s="364" t="s">
        <v>64</v>
      </c>
      <c r="F102" s="510" t="str">
        <f>IF(OR(B102&lt;=$D$77,AND(B102&gt;$D$77,C102&amp;D102&amp;E102="NONNONNON")),IF(ISNA(VLOOKUP(C102&amp;D102&amp;E102,'Fiche n°2 - Traitement'!$B$271:$G$288,6,FALSE)),"veuillez indiquer une valeur",VLOOKUP(C102&amp;D102&amp;E102,'Fiche n°2 - Traitement'!$B$271:$G$288,6,FALSE)),"Ce concasseur ne devrait pas être utilisé et les valeurs devraient être ''NON'', ''NON'' et ''NON''")</f>
        <v>OK</v>
      </c>
      <c r="G102" s="750"/>
      <c r="H102" s="143"/>
    </row>
    <row r="103" spans="2:8" s="139" customFormat="1" ht="32.25" customHeight="1" x14ac:dyDescent="0.2">
      <c r="B103" s="379">
        <v>9</v>
      </c>
      <c r="C103" s="364" t="s">
        <v>64</v>
      </c>
      <c r="D103" s="364" t="s">
        <v>64</v>
      </c>
      <c r="E103" s="364" t="s">
        <v>64</v>
      </c>
      <c r="F103" s="510" t="str">
        <f>IF(OR(B103&lt;=$D$77,AND(B103&gt;$D$77,C103&amp;D103&amp;E103="NONNONNON")),IF(ISNA(VLOOKUP(C103&amp;D103&amp;E103,'Fiche n°2 - Traitement'!$B$271:$G$288,6,FALSE)),"veuillez indiquer une valeur",VLOOKUP(C103&amp;D103&amp;E103,'Fiche n°2 - Traitement'!$B$271:$G$288,6,FALSE)),"Ce concasseur ne devrait pas être utilisé et les valeurs devraient être ''NON'', ''NON'' et ''NON''")</f>
        <v>OK</v>
      </c>
      <c r="G103" s="750"/>
      <c r="H103" s="143"/>
    </row>
    <row r="104" spans="2:8" s="139" customFormat="1" ht="32.25" customHeight="1" x14ac:dyDescent="0.2">
      <c r="B104" s="379">
        <v>10</v>
      </c>
      <c r="C104" s="364" t="s">
        <v>64</v>
      </c>
      <c r="D104" s="364" t="s">
        <v>64</v>
      </c>
      <c r="E104" s="364" t="s">
        <v>64</v>
      </c>
      <c r="F104" s="510" t="str">
        <f>IF(OR(B104&lt;=$D$77,AND(B104&gt;$D$77,C104&amp;D104&amp;E104="NONNONNON")),IF(ISNA(VLOOKUP(C104&amp;D104&amp;E104,'Fiche n°2 - Traitement'!$B$271:$G$288,6,FALSE)),"veuillez indiquer une valeur",VLOOKUP(C104&amp;D104&amp;E104,'Fiche n°2 - Traitement'!$B$271:$G$288,6,FALSE)),"Ce concasseur ne devrait pas être utilisé et les valeurs devraient être ''NON'', ''NON'' et ''NON''")</f>
        <v>OK</v>
      </c>
      <c r="G104" s="751"/>
      <c r="H104" s="143"/>
    </row>
    <row r="105" spans="2:8" s="139" customFormat="1" ht="32.25" customHeight="1" x14ac:dyDescent="0.2">
      <c r="B105" s="363" t="s">
        <v>346</v>
      </c>
      <c r="C105" s="306" t="s">
        <v>350</v>
      </c>
      <c r="D105" s="306" t="s">
        <v>440</v>
      </c>
      <c r="E105" s="150" t="s">
        <v>359</v>
      </c>
      <c r="F105" s="306" t="s">
        <v>293</v>
      </c>
      <c r="G105" s="142"/>
      <c r="H105" s="143"/>
    </row>
    <row r="106" spans="2:8" s="139" customFormat="1" ht="32.25" customHeight="1" x14ac:dyDescent="0.2">
      <c r="B106" s="380">
        <v>1</v>
      </c>
      <c r="C106" s="364" t="s">
        <v>64</v>
      </c>
      <c r="D106" s="364" t="s">
        <v>64</v>
      </c>
      <c r="E106" s="364" t="s">
        <v>64</v>
      </c>
      <c r="F106" s="510" t="str">
        <f>IF(OR(B106&lt;=$D$78,AND(B106&gt;$D$78,C106&amp;D106&amp;E106="NONNONNON")),IF(ISNA(VLOOKUP(C106&amp;D106&amp;E106,'Fiche n°2 - Traitement'!$B$271:$G$288,6,FALSE)),"veuillez indiquer une valeur",VLOOKUP(C106&amp;D106&amp;E106,'Fiche n°2 - Traitement'!$B$271:$G$288,6,FALSE)),"Ce concasseur ne devrait pas être utilisé et les valeurs devraient être ''NON'', ''NON'' et ''NON''")</f>
        <v>OK</v>
      </c>
      <c r="G106" s="749" t="s">
        <v>412</v>
      </c>
      <c r="H106" s="143"/>
    </row>
    <row r="107" spans="2:8" s="139" customFormat="1" ht="32.25" customHeight="1" x14ac:dyDescent="0.2">
      <c r="B107" s="380">
        <v>2</v>
      </c>
      <c r="C107" s="364" t="s">
        <v>64</v>
      </c>
      <c r="D107" s="364" t="s">
        <v>64</v>
      </c>
      <c r="E107" s="364" t="s">
        <v>64</v>
      </c>
      <c r="F107" s="510" t="str">
        <f>IF(OR(B107&lt;=$D$78,AND(B107&gt;$D$78,C107&amp;D107&amp;E107="NONNONNON")),IF(ISNA(VLOOKUP(C107&amp;D107&amp;E107,'Fiche n°2 - Traitement'!$B$271:$G$288,6,FALSE)),"veuillez indiquer une valeur",VLOOKUP(C107&amp;D107&amp;E107,'Fiche n°2 - Traitement'!$B$271:$G$288,6,FALSE)),"Ce concasseur ne devrait pas être utilisé et les valeurs devraient être ''NON'', ''NON'' et ''NON''")</f>
        <v>OK</v>
      </c>
      <c r="G107" s="750"/>
      <c r="H107" s="143"/>
    </row>
    <row r="108" spans="2:8" s="139" customFormat="1" ht="32.25" customHeight="1" x14ac:dyDescent="0.2">
      <c r="B108" s="380">
        <v>3</v>
      </c>
      <c r="C108" s="364" t="s">
        <v>64</v>
      </c>
      <c r="D108" s="364" t="s">
        <v>64</v>
      </c>
      <c r="E108" s="364" t="s">
        <v>64</v>
      </c>
      <c r="F108" s="510" t="str">
        <f>IF(OR(B108&lt;=$D$78,AND(B108&gt;$D$78,C108&amp;D108&amp;E108="NONNONNON")),IF(ISNA(VLOOKUP(C108&amp;D108&amp;E108,'Fiche n°2 - Traitement'!$B$271:$G$288,6,FALSE)),"veuillez indiquer une valeur",VLOOKUP(C108&amp;D108&amp;E108,'Fiche n°2 - Traitement'!$B$271:$G$288,6,FALSE)),"Ce concasseur ne devrait pas être utilisé et les valeurs devraient être ''NON'', ''NON'' et ''NON''")</f>
        <v>OK</v>
      </c>
      <c r="G108" s="750"/>
      <c r="H108" s="143"/>
    </row>
    <row r="109" spans="2:8" s="139" customFormat="1" ht="32.25" customHeight="1" x14ac:dyDescent="0.2">
      <c r="B109" s="380">
        <v>4</v>
      </c>
      <c r="C109" s="364" t="s">
        <v>64</v>
      </c>
      <c r="D109" s="364" t="s">
        <v>64</v>
      </c>
      <c r="E109" s="364" t="s">
        <v>64</v>
      </c>
      <c r="F109" s="510" t="str">
        <f>IF(OR(B109&lt;=$D$78,AND(B109&gt;$D$78,C109&amp;D109&amp;E109="NONNONNON")),IF(ISNA(VLOOKUP(C109&amp;D109&amp;E109,'Fiche n°2 - Traitement'!$B$271:$G$288,6,FALSE)),"veuillez indiquer une valeur",VLOOKUP(C109&amp;D109&amp;E109,'Fiche n°2 - Traitement'!$B$271:$G$288,6,FALSE)),"Ce concasseur ne devrait pas être utilisé et les valeurs devraient être ''NON'', ''NON'' et ''NON''")</f>
        <v>OK</v>
      </c>
      <c r="G109" s="750"/>
      <c r="H109" s="143"/>
    </row>
    <row r="110" spans="2:8" s="139" customFormat="1" ht="32.25" customHeight="1" x14ac:dyDescent="0.2">
      <c r="B110" s="380">
        <v>5</v>
      </c>
      <c r="C110" s="364" t="s">
        <v>64</v>
      </c>
      <c r="D110" s="364" t="s">
        <v>64</v>
      </c>
      <c r="E110" s="364" t="s">
        <v>64</v>
      </c>
      <c r="F110" s="510" t="str">
        <f>IF(OR(B110&lt;=$D$78,AND(B110&gt;$D$78,C110&amp;D110&amp;E110="NONNONNON")),IF(ISNA(VLOOKUP(C110&amp;D110&amp;E110,'Fiche n°2 - Traitement'!$B$271:$G$288,6,FALSE)),"veuillez indiquer une valeur",VLOOKUP(C110&amp;D110&amp;E110,'Fiche n°2 - Traitement'!$B$271:$G$288,6,FALSE)),"Ce concasseur ne devrait pas être utilisé et les valeurs devraient être ''NON'', ''NON'' et ''NON''")</f>
        <v>OK</v>
      </c>
      <c r="G110" s="750"/>
      <c r="H110" s="143"/>
    </row>
    <row r="111" spans="2:8" s="139" customFormat="1" ht="32.25" customHeight="1" x14ac:dyDescent="0.2">
      <c r="B111" s="380">
        <v>6</v>
      </c>
      <c r="C111" s="364" t="s">
        <v>64</v>
      </c>
      <c r="D111" s="364" t="s">
        <v>64</v>
      </c>
      <c r="E111" s="364" t="s">
        <v>64</v>
      </c>
      <c r="F111" s="510" t="str">
        <f>IF(OR(B111&lt;=$D$78,AND(B111&gt;$D$78,C111&amp;D111&amp;E111="NONNONNON")),IF(ISNA(VLOOKUP(C111&amp;D111&amp;E111,'Fiche n°2 - Traitement'!$B$271:$G$288,6,FALSE)),"veuillez indiquer une valeur",VLOOKUP(C111&amp;D111&amp;E111,'Fiche n°2 - Traitement'!$B$271:$G$288,6,FALSE)),"Ce concasseur ne devrait pas être utilisé et les valeurs devraient être ''NON'', ''NON'' et ''NON''")</f>
        <v>OK</v>
      </c>
      <c r="G111" s="750"/>
      <c r="H111" s="143"/>
    </row>
    <row r="112" spans="2:8" s="139" customFormat="1" ht="32.25" customHeight="1" x14ac:dyDescent="0.2">
      <c r="B112" s="380">
        <v>7</v>
      </c>
      <c r="C112" s="364" t="s">
        <v>64</v>
      </c>
      <c r="D112" s="364" t="s">
        <v>64</v>
      </c>
      <c r="E112" s="364" t="s">
        <v>64</v>
      </c>
      <c r="F112" s="510" t="str">
        <f>IF(OR(B112&lt;=$D$78,AND(B112&gt;$D$78,C112&amp;D112&amp;E112="NONNONNON")),IF(ISNA(VLOOKUP(C112&amp;D112&amp;E112,'Fiche n°2 - Traitement'!$B$271:$G$288,6,FALSE)),"veuillez indiquer une valeur",VLOOKUP(C112&amp;D112&amp;E112,'Fiche n°2 - Traitement'!$B$271:$G$288,6,FALSE)),"Ce concasseur ne devrait pas être utilisé et les valeurs devraient être ''NON'', ''NON'' et ''NON''")</f>
        <v>OK</v>
      </c>
      <c r="G112" s="750"/>
      <c r="H112" s="143"/>
    </row>
    <row r="113" spans="2:9" s="139" customFormat="1" ht="32.25" customHeight="1" x14ac:dyDescent="0.2">
      <c r="B113" s="380">
        <v>8</v>
      </c>
      <c r="C113" s="364" t="s">
        <v>64</v>
      </c>
      <c r="D113" s="364" t="s">
        <v>64</v>
      </c>
      <c r="E113" s="364" t="s">
        <v>64</v>
      </c>
      <c r="F113" s="510" t="str">
        <f>IF(OR(B113&lt;=$D$78,AND(B113&gt;$D$78,C113&amp;D113&amp;E113="NONNONNON")),IF(ISNA(VLOOKUP(C113&amp;D113&amp;E113,'Fiche n°2 - Traitement'!$B$271:$G$288,6,FALSE)),"veuillez indiquer une valeur",VLOOKUP(C113&amp;D113&amp;E113,'Fiche n°2 - Traitement'!$B$271:$G$288,6,FALSE)),"Ce concasseur ne devrait pas être utilisé et les valeurs devraient être ''NON'', ''NON'' et ''NON''")</f>
        <v>OK</v>
      </c>
      <c r="G113" s="750"/>
      <c r="H113" s="143"/>
    </row>
    <row r="114" spans="2:9" s="139" customFormat="1" ht="32.25" customHeight="1" x14ac:dyDescent="0.2">
      <c r="B114" s="380">
        <v>9</v>
      </c>
      <c r="C114" s="364" t="s">
        <v>64</v>
      </c>
      <c r="D114" s="364" t="s">
        <v>64</v>
      </c>
      <c r="E114" s="364" t="s">
        <v>64</v>
      </c>
      <c r="F114" s="510" t="str">
        <f>IF(OR(B114&lt;=$D$78,AND(B114&gt;$D$78,C114&amp;D114&amp;E114="NONNONNON")),IF(ISNA(VLOOKUP(C114&amp;D114&amp;E114,'Fiche n°2 - Traitement'!$B$271:$G$288,6,FALSE)),"veuillez indiquer une valeur",VLOOKUP(C114&amp;D114&amp;E114,'Fiche n°2 - Traitement'!$B$271:$G$288,6,FALSE)),"Ce concasseur ne devrait pas être utilisé et les valeurs devraient être ''NON'', ''NON'' et ''NON''")</f>
        <v>OK</v>
      </c>
      <c r="G114" s="750"/>
      <c r="H114" s="143"/>
    </row>
    <row r="115" spans="2:9" s="139" customFormat="1" ht="32.25" customHeight="1" x14ac:dyDescent="0.2">
      <c r="B115" s="380">
        <v>10</v>
      </c>
      <c r="C115" s="364" t="s">
        <v>64</v>
      </c>
      <c r="D115" s="364" t="s">
        <v>64</v>
      </c>
      <c r="E115" s="364" t="s">
        <v>64</v>
      </c>
      <c r="F115" s="510" t="str">
        <f>IF(OR(B115&lt;=$D$78,AND(B115&gt;$D$78,C115&amp;D115&amp;E115="NONNONNON")),IF(ISNA(VLOOKUP(C115&amp;D115&amp;E115,'Fiche n°2 - Traitement'!$B$271:$G$288,6,FALSE)),"veuillez indiquer une valeur",VLOOKUP(C115&amp;D115&amp;E115,'Fiche n°2 - Traitement'!$B$271:$G$288,6,FALSE)),"Ce concasseur ne devrait pas être utilisé et les valeurs devraient être ''NON'', ''NON'' et ''NON''")</f>
        <v>OK</v>
      </c>
      <c r="G115" s="751"/>
      <c r="H115" s="143"/>
    </row>
    <row r="116" spans="2:9" s="139" customFormat="1" ht="32.25" customHeight="1" x14ac:dyDescent="0.2">
      <c r="B116" s="363" t="s">
        <v>347</v>
      </c>
      <c r="C116" s="589" t="s">
        <v>519</v>
      </c>
      <c r="D116" s="306" t="s">
        <v>350</v>
      </c>
      <c r="E116" s="306" t="s">
        <v>440</v>
      </c>
      <c r="F116" s="150" t="s">
        <v>359</v>
      </c>
      <c r="G116" s="306" t="s">
        <v>293</v>
      </c>
      <c r="H116" s="142"/>
    </row>
    <row r="117" spans="2:9" s="139" customFormat="1" ht="32.25" customHeight="1" x14ac:dyDescent="0.2">
      <c r="B117" s="376">
        <v>1</v>
      </c>
      <c r="C117" s="364" t="s">
        <v>64</v>
      </c>
      <c r="D117" s="364" t="s">
        <v>64</v>
      </c>
      <c r="E117" s="364" t="s">
        <v>64</v>
      </c>
      <c r="F117" s="364" t="s">
        <v>64</v>
      </c>
      <c r="G117" s="510" t="str">
        <f>IF(OR(B117&lt;=$D$79,AND(B117&gt;$D$79,C117&amp;D117&amp;E117&amp;F117="NONNONNONNON")),IF(ISNA(VLOOKUP(C117&amp;D117&amp;E117&amp;F117,'Fiche n°2 - Traitement'!$B$309:$H$332,7,FALSE)),"veuillez indiquer une valeur",VLOOKUP(C117&amp;D117&amp;E117&amp;F117,'Fiche n°2 - Traitement'!$B$309:$H$332,7,FALSE)),"Ce crible ne devrait pas être utilisé et les valeurs devraient être ''NON'', ''NON'', ''NON'' et ''NON''")</f>
        <v>OK</v>
      </c>
      <c r="H117" s="749" t="s">
        <v>412</v>
      </c>
      <c r="I117" s="143"/>
    </row>
    <row r="118" spans="2:9" s="139" customFormat="1" ht="32.25" customHeight="1" x14ac:dyDescent="0.2">
      <c r="B118" s="376">
        <v>2</v>
      </c>
      <c r="C118" s="364" t="s">
        <v>64</v>
      </c>
      <c r="D118" s="364" t="s">
        <v>64</v>
      </c>
      <c r="E118" s="364" t="s">
        <v>64</v>
      </c>
      <c r="F118" s="364" t="s">
        <v>64</v>
      </c>
      <c r="G118" s="510" t="str">
        <f>IF(OR(B118&lt;=$D$79,AND(B118&gt;$D$79,C118&amp;D118&amp;E118&amp;F118="NONNONNONNON")),IF(ISNA(VLOOKUP(C118&amp;D118&amp;E118&amp;F118,'Fiche n°2 - Traitement'!$B$309:$H$332,7,FALSE)),"veuillez indiquer une valeur",VLOOKUP(C118&amp;D118&amp;E118&amp;F118,'Fiche n°2 - Traitement'!$B$309:$H$332,7,FALSE)),"Ce crible ne devrait pas être utilisé et les valeurs devraient être ''NON'', ''NON'', ''NON'' et ''NON''")</f>
        <v>OK</v>
      </c>
      <c r="H118" s="750"/>
      <c r="I118" s="143"/>
    </row>
    <row r="119" spans="2:9" s="139" customFormat="1" ht="32.25" customHeight="1" x14ac:dyDescent="0.2">
      <c r="B119" s="376">
        <v>3</v>
      </c>
      <c r="C119" s="364" t="s">
        <v>64</v>
      </c>
      <c r="D119" s="364" t="s">
        <v>64</v>
      </c>
      <c r="E119" s="364" t="s">
        <v>64</v>
      </c>
      <c r="F119" s="364" t="s">
        <v>64</v>
      </c>
      <c r="G119" s="510" t="str">
        <f>IF(OR(B119&lt;=$D$79,AND(B119&gt;$D$79,C119&amp;D119&amp;E119&amp;F119="NONNONNONNON")),IF(ISNA(VLOOKUP(C119&amp;D119&amp;E119&amp;F119,'Fiche n°2 - Traitement'!$B$309:$H$332,7,FALSE)),"veuillez indiquer une valeur",VLOOKUP(C119&amp;D119&amp;E119&amp;F119,'Fiche n°2 - Traitement'!$B$309:$H$332,7,FALSE)),"Ce crible ne devrait pas être utilisé et les valeurs devraient être ''NON'', ''NON'', ''NON'' et ''NON''")</f>
        <v>OK</v>
      </c>
      <c r="H119" s="750"/>
      <c r="I119" s="143"/>
    </row>
    <row r="120" spans="2:9" s="139" customFormat="1" ht="32.25" customHeight="1" x14ac:dyDescent="0.2">
      <c r="B120" s="376">
        <v>4</v>
      </c>
      <c r="C120" s="364" t="s">
        <v>64</v>
      </c>
      <c r="D120" s="364" t="s">
        <v>64</v>
      </c>
      <c r="E120" s="364" t="s">
        <v>64</v>
      </c>
      <c r="F120" s="364" t="s">
        <v>64</v>
      </c>
      <c r="G120" s="510" t="str">
        <f>IF(OR(B120&lt;=$D$79,AND(B120&gt;$D$79,C120&amp;D120&amp;E120&amp;F120="NONNONNONNON")),IF(ISNA(VLOOKUP(C120&amp;D120&amp;E120&amp;F120,'Fiche n°2 - Traitement'!$B$309:$H$332,7,FALSE)),"veuillez indiquer une valeur",VLOOKUP(C120&amp;D120&amp;E120&amp;F120,'Fiche n°2 - Traitement'!$B$309:$H$332,7,FALSE)),"Ce crible ne devrait pas être utilisé et les valeurs devraient être ''NON'', ''NON'', ''NON'' et ''NON''")</f>
        <v>OK</v>
      </c>
      <c r="H120" s="750"/>
      <c r="I120" s="143"/>
    </row>
    <row r="121" spans="2:9" s="139" customFormat="1" ht="32.25" customHeight="1" x14ac:dyDescent="0.2">
      <c r="B121" s="376">
        <v>5</v>
      </c>
      <c r="C121" s="364" t="s">
        <v>64</v>
      </c>
      <c r="D121" s="364" t="s">
        <v>64</v>
      </c>
      <c r="E121" s="364" t="s">
        <v>64</v>
      </c>
      <c r="F121" s="364" t="s">
        <v>64</v>
      </c>
      <c r="G121" s="510" t="str">
        <f>IF(OR(B121&lt;=$D$79,AND(B121&gt;$D$79,C121&amp;D121&amp;E121&amp;F121="NONNONNONNON")),IF(ISNA(VLOOKUP(C121&amp;D121&amp;E121&amp;F121,'Fiche n°2 - Traitement'!$B$309:$H$332,7,FALSE)),"veuillez indiquer une valeur",VLOOKUP(C121&amp;D121&amp;E121&amp;F121,'Fiche n°2 - Traitement'!$B$309:$H$332,7,FALSE)),"Ce crible ne devrait pas être utilisé et les valeurs devraient être ''NON'', ''NON'', ''NON'' et ''NON''")</f>
        <v>OK</v>
      </c>
      <c r="H121" s="750"/>
      <c r="I121" s="143"/>
    </row>
    <row r="122" spans="2:9" s="139" customFormat="1" ht="32.25" customHeight="1" x14ac:dyDescent="0.2">
      <c r="B122" s="376">
        <v>6</v>
      </c>
      <c r="C122" s="364" t="s">
        <v>64</v>
      </c>
      <c r="D122" s="364" t="s">
        <v>64</v>
      </c>
      <c r="E122" s="364" t="s">
        <v>64</v>
      </c>
      <c r="F122" s="364" t="s">
        <v>64</v>
      </c>
      <c r="G122" s="510" t="str">
        <f>IF(OR(B122&lt;=$D$79,AND(B122&gt;$D$79,C122&amp;D122&amp;E122&amp;F122="NONNONNONNON")),IF(ISNA(VLOOKUP(C122&amp;D122&amp;E122&amp;F122,'Fiche n°2 - Traitement'!$B$309:$H$332,7,FALSE)),"veuillez indiquer une valeur",VLOOKUP(C122&amp;D122&amp;E122&amp;F122,'Fiche n°2 - Traitement'!$B$309:$H$332,7,FALSE)),"Ce crible ne devrait pas être utilisé et les valeurs devraient être ''NON'', ''NON'', ''NON'' et ''NON''")</f>
        <v>OK</v>
      </c>
      <c r="H122" s="750"/>
      <c r="I122" s="143"/>
    </row>
    <row r="123" spans="2:9" s="139" customFormat="1" ht="32.25" customHeight="1" x14ac:dyDescent="0.2">
      <c r="B123" s="376">
        <v>7</v>
      </c>
      <c r="C123" s="364" t="s">
        <v>64</v>
      </c>
      <c r="D123" s="364" t="s">
        <v>64</v>
      </c>
      <c r="E123" s="364" t="s">
        <v>64</v>
      </c>
      <c r="F123" s="364" t="s">
        <v>64</v>
      </c>
      <c r="G123" s="510" t="str">
        <f>IF(OR(B123&lt;=$D$79,AND(B123&gt;$D$79,C123&amp;D123&amp;E123&amp;F123="NONNONNONNON")),IF(ISNA(VLOOKUP(C123&amp;D123&amp;E123&amp;F123,'Fiche n°2 - Traitement'!$B$309:$H$332,7,FALSE)),"veuillez indiquer une valeur",VLOOKUP(C123&amp;D123&amp;E123&amp;F123,'Fiche n°2 - Traitement'!$B$309:$H$332,7,FALSE)),"Ce crible ne devrait pas être utilisé et les valeurs devraient être ''NON'', ''NON'', ''NON'' et ''NON''")</f>
        <v>OK</v>
      </c>
      <c r="H123" s="750"/>
      <c r="I123" s="143"/>
    </row>
    <row r="124" spans="2:9" s="139" customFormat="1" ht="32.25" customHeight="1" x14ac:dyDescent="0.2">
      <c r="B124" s="376">
        <v>8</v>
      </c>
      <c r="C124" s="364" t="s">
        <v>64</v>
      </c>
      <c r="D124" s="364" t="s">
        <v>64</v>
      </c>
      <c r="E124" s="364" t="s">
        <v>64</v>
      </c>
      <c r="F124" s="364" t="s">
        <v>64</v>
      </c>
      <c r="G124" s="510" t="str">
        <f>IF(OR(B124&lt;=$D$79,AND(B124&gt;$D$79,C124&amp;D124&amp;E124&amp;F124="NONNONNONNON")),IF(ISNA(VLOOKUP(C124&amp;D124&amp;E124&amp;F124,'Fiche n°2 - Traitement'!$B$309:$H$332,7,FALSE)),"veuillez indiquer une valeur",VLOOKUP(C124&amp;D124&amp;E124&amp;F124,'Fiche n°2 - Traitement'!$B$309:$H$332,7,FALSE)),"Ce crible ne devrait pas être utilisé et les valeurs devraient être ''NON'', ''NON'', ''NON'' et ''NON''")</f>
        <v>OK</v>
      </c>
      <c r="H124" s="750"/>
      <c r="I124" s="143"/>
    </row>
    <row r="125" spans="2:9" s="139" customFormat="1" ht="32.25" customHeight="1" x14ac:dyDescent="0.2">
      <c r="B125" s="376">
        <v>9</v>
      </c>
      <c r="C125" s="364" t="s">
        <v>64</v>
      </c>
      <c r="D125" s="364" t="s">
        <v>64</v>
      </c>
      <c r="E125" s="364" t="s">
        <v>64</v>
      </c>
      <c r="F125" s="364" t="s">
        <v>64</v>
      </c>
      <c r="G125" s="510" t="str">
        <f>IF(OR(B125&lt;=$D$79,AND(B125&gt;$D$79,C125&amp;D125&amp;E125&amp;F125="NONNONNONNON")),IF(ISNA(VLOOKUP(C125&amp;D125&amp;E125&amp;F125,'Fiche n°2 - Traitement'!$B$309:$H$332,7,FALSE)),"veuillez indiquer une valeur",VLOOKUP(C125&amp;D125&amp;E125&amp;F125,'Fiche n°2 - Traitement'!$B$309:$H$332,7,FALSE)),"Ce crible ne devrait pas être utilisé et les valeurs devraient être ''NON'', ''NON'', ''NON'' et ''NON''")</f>
        <v>OK</v>
      </c>
      <c r="H125" s="750"/>
      <c r="I125" s="143"/>
    </row>
    <row r="126" spans="2:9" s="139" customFormat="1" ht="32.25" customHeight="1" x14ac:dyDescent="0.2">
      <c r="B126" s="376">
        <v>10</v>
      </c>
      <c r="C126" s="364" t="s">
        <v>64</v>
      </c>
      <c r="D126" s="364" t="s">
        <v>64</v>
      </c>
      <c r="E126" s="364" t="s">
        <v>64</v>
      </c>
      <c r="F126" s="364" t="s">
        <v>64</v>
      </c>
      <c r="G126" s="510" t="str">
        <f>IF(OR(B126&lt;=$D$79,AND(B126&gt;$D$79,C126&amp;D126&amp;E126&amp;F126="NONNONNONNON")),IF(ISNA(VLOOKUP(C126&amp;D126&amp;E126&amp;F126,'Fiche n°2 - Traitement'!$B$309:$H$332,7,FALSE)),"veuillez indiquer une valeur",VLOOKUP(C126&amp;D126&amp;E126&amp;F126,'Fiche n°2 - Traitement'!$B$309:$H$332,7,FALSE)),"Ce crible ne devrait pas être utilisé et les valeurs devraient être ''NON'', ''NON'', ''NON'' et ''NON''")</f>
        <v>OK</v>
      </c>
      <c r="H126" s="751"/>
      <c r="I126" s="143"/>
    </row>
    <row r="127" spans="2:9" s="139" customFormat="1" ht="32.25" customHeight="1" x14ac:dyDescent="0.2">
      <c r="B127" s="363" t="s">
        <v>349</v>
      </c>
      <c r="C127" s="589" t="s">
        <v>519</v>
      </c>
      <c r="D127" s="306" t="s">
        <v>350</v>
      </c>
      <c r="E127" s="306" t="s">
        <v>440</v>
      </c>
      <c r="F127" s="150" t="s">
        <v>359</v>
      </c>
      <c r="G127" s="306" t="s">
        <v>293</v>
      </c>
      <c r="H127" s="142"/>
    </row>
    <row r="128" spans="2:9" s="139" customFormat="1" ht="32.25" customHeight="1" x14ac:dyDescent="0.2">
      <c r="B128" s="377">
        <v>1</v>
      </c>
      <c r="C128" s="364" t="s">
        <v>64</v>
      </c>
      <c r="D128" s="364" t="s">
        <v>64</v>
      </c>
      <c r="E128" s="364" t="s">
        <v>64</v>
      </c>
      <c r="F128" s="364" t="s">
        <v>64</v>
      </c>
      <c r="G128" s="510" t="str">
        <f>IF(OR(B128&lt;=$D$80,AND(B128&gt;$D$80,C128&amp;D128&amp;E128&amp;F128="NONNONNONNON")),IF(ISNA(VLOOKUP(C128&amp;D128&amp;E128&amp;F128,'Fiche n°2 - Traitement'!$B$309:$H$332,7,FALSE)),"veuillez indiquer une valeur",VLOOKUP(C128&amp;D128&amp;E128&amp;F128,'Fiche n°2 - Traitement'!$B$309:$H$332,7,FALSE)),"Ce crible ne devrait pas être utilisé et les valeurs devraient être ''NON'', ''NON'', ''NON'' et ''NON''")</f>
        <v>OK</v>
      </c>
      <c r="H128" s="749" t="s">
        <v>412</v>
      </c>
      <c r="I128" s="143"/>
    </row>
    <row r="129" spans="2:9" s="139" customFormat="1" ht="32.25" customHeight="1" x14ac:dyDescent="0.2">
      <c r="B129" s="377">
        <v>2</v>
      </c>
      <c r="C129" s="364" t="s">
        <v>64</v>
      </c>
      <c r="D129" s="364" t="s">
        <v>64</v>
      </c>
      <c r="E129" s="364" t="s">
        <v>64</v>
      </c>
      <c r="F129" s="364" t="s">
        <v>64</v>
      </c>
      <c r="G129" s="510" t="str">
        <f>IF(OR(B129&lt;=$D$80,AND(B129&gt;$D$80,C129&amp;D129&amp;E129&amp;F129="NONNONNONNON")),IF(ISNA(VLOOKUP(C129&amp;D129&amp;E129&amp;F129,'Fiche n°2 - Traitement'!$B$309:$H$332,7,FALSE)),"veuillez indiquer une valeur",VLOOKUP(C129&amp;D129&amp;E129&amp;F129,'Fiche n°2 - Traitement'!$B$309:$H$332,7,FALSE)),"Ce crible ne devrait pas être utilisé et les valeurs devraient être ''NON'', ''NON'', ''NON'' et ''NON''")</f>
        <v>OK</v>
      </c>
      <c r="H129" s="750"/>
      <c r="I129" s="143"/>
    </row>
    <row r="130" spans="2:9" s="139" customFormat="1" ht="32.25" customHeight="1" x14ac:dyDescent="0.2">
      <c r="B130" s="377">
        <v>3</v>
      </c>
      <c r="C130" s="364" t="s">
        <v>64</v>
      </c>
      <c r="D130" s="364" t="s">
        <v>64</v>
      </c>
      <c r="E130" s="364" t="s">
        <v>64</v>
      </c>
      <c r="F130" s="364" t="s">
        <v>64</v>
      </c>
      <c r="G130" s="510" t="str">
        <f>IF(OR(B130&lt;=$D$80,AND(B130&gt;$D$80,C130&amp;D130&amp;E130&amp;F130="NONNONNONNON")),IF(ISNA(VLOOKUP(C130&amp;D130&amp;E130&amp;F130,'Fiche n°2 - Traitement'!$B$309:$H$332,7,FALSE)),"veuillez indiquer une valeur",VLOOKUP(C130&amp;D130&amp;E130&amp;F130,'Fiche n°2 - Traitement'!$B$309:$H$332,7,FALSE)),"Ce crible ne devrait pas être utilisé et les valeurs devraient être ''NON'', ''NON'', ''NON'' et ''NON''")</f>
        <v>OK</v>
      </c>
      <c r="H130" s="750"/>
      <c r="I130" s="143"/>
    </row>
    <row r="131" spans="2:9" s="139" customFormat="1" ht="32.25" customHeight="1" x14ac:dyDescent="0.2">
      <c r="B131" s="377">
        <v>4</v>
      </c>
      <c r="C131" s="364" t="s">
        <v>64</v>
      </c>
      <c r="D131" s="364" t="s">
        <v>64</v>
      </c>
      <c r="E131" s="364" t="s">
        <v>64</v>
      </c>
      <c r="F131" s="364" t="s">
        <v>64</v>
      </c>
      <c r="G131" s="510" t="str">
        <f>IF(OR(B131&lt;=$D$80,AND(B131&gt;$D$80,C131&amp;D131&amp;E131&amp;F131="NONNONNONNON")),IF(ISNA(VLOOKUP(C131&amp;D131&amp;E131&amp;F131,'Fiche n°2 - Traitement'!$B$309:$H$332,7,FALSE)),"veuillez indiquer une valeur",VLOOKUP(C131&amp;D131&amp;E131&amp;F131,'Fiche n°2 - Traitement'!$B$309:$H$332,7,FALSE)),"Ce crible ne devrait pas être utilisé et les valeurs devraient être ''NON'', ''NON'', ''NON'' et ''NON''")</f>
        <v>OK</v>
      </c>
      <c r="H131" s="750"/>
      <c r="I131" s="143"/>
    </row>
    <row r="132" spans="2:9" s="139" customFormat="1" ht="32.25" customHeight="1" x14ac:dyDescent="0.2">
      <c r="B132" s="377">
        <v>5</v>
      </c>
      <c r="C132" s="364" t="s">
        <v>64</v>
      </c>
      <c r="D132" s="364" t="s">
        <v>64</v>
      </c>
      <c r="E132" s="364" t="s">
        <v>64</v>
      </c>
      <c r="F132" s="364" t="s">
        <v>64</v>
      </c>
      <c r="G132" s="510" t="str">
        <f>IF(OR(B132&lt;=$D$80,AND(B132&gt;$D$80,C132&amp;D132&amp;E132&amp;F132="NONNONNONNON")),IF(ISNA(VLOOKUP(C132&amp;D132&amp;E132&amp;F132,'Fiche n°2 - Traitement'!$B$309:$H$332,7,FALSE)),"veuillez indiquer une valeur",VLOOKUP(C132&amp;D132&amp;E132&amp;F132,'Fiche n°2 - Traitement'!$B$309:$H$332,7,FALSE)),"Ce crible ne devrait pas être utilisé et les valeurs devraient être ''NON'', ''NON'', ''NON'' et ''NON''")</f>
        <v>OK</v>
      </c>
      <c r="H132" s="750"/>
      <c r="I132" s="143"/>
    </row>
    <row r="133" spans="2:9" s="139" customFormat="1" ht="32.25" customHeight="1" x14ac:dyDescent="0.2">
      <c r="B133" s="377">
        <v>6</v>
      </c>
      <c r="C133" s="364" t="s">
        <v>64</v>
      </c>
      <c r="D133" s="364" t="s">
        <v>64</v>
      </c>
      <c r="E133" s="364" t="s">
        <v>64</v>
      </c>
      <c r="F133" s="364" t="s">
        <v>64</v>
      </c>
      <c r="G133" s="510" t="str">
        <f>IF(OR(B133&lt;=$D$80,AND(B133&gt;$D$80,C133&amp;D133&amp;E133&amp;F133="NONNONNONNON")),IF(ISNA(VLOOKUP(C133&amp;D133&amp;E133&amp;F133,'Fiche n°2 - Traitement'!$B$309:$H$332,7,FALSE)),"veuillez indiquer une valeur",VLOOKUP(C133&amp;D133&amp;E133&amp;F133,'Fiche n°2 - Traitement'!$B$309:$H$332,7,FALSE)),"Ce crible ne devrait pas être utilisé et les valeurs devraient être ''NON'', ''NON'', ''NON'' et ''NON''")</f>
        <v>OK</v>
      </c>
      <c r="H133" s="750"/>
      <c r="I133" s="143"/>
    </row>
    <row r="134" spans="2:9" s="139" customFormat="1" ht="32.25" customHeight="1" x14ac:dyDescent="0.2">
      <c r="B134" s="377">
        <v>7</v>
      </c>
      <c r="C134" s="364" t="s">
        <v>64</v>
      </c>
      <c r="D134" s="364" t="s">
        <v>64</v>
      </c>
      <c r="E134" s="364" t="s">
        <v>64</v>
      </c>
      <c r="F134" s="364" t="s">
        <v>64</v>
      </c>
      <c r="G134" s="510" t="str">
        <f>IF(OR(B134&lt;=$D$80,AND(B134&gt;$D$80,C134&amp;D134&amp;E134&amp;F134="NONNONNONNON")),IF(ISNA(VLOOKUP(C134&amp;D134&amp;E134&amp;F134,'Fiche n°2 - Traitement'!$B$309:$H$332,7,FALSE)),"veuillez indiquer une valeur",VLOOKUP(C134&amp;D134&amp;E134&amp;F134,'Fiche n°2 - Traitement'!$B$309:$H$332,7,FALSE)),"Ce crible ne devrait pas être utilisé et les valeurs devraient être ''NON'', ''NON'', ''NON'' et ''NON''")</f>
        <v>OK</v>
      </c>
      <c r="H134" s="750"/>
      <c r="I134" s="143"/>
    </row>
    <row r="135" spans="2:9" s="139" customFormat="1" ht="32.25" customHeight="1" x14ac:dyDescent="0.2">
      <c r="B135" s="377">
        <v>8</v>
      </c>
      <c r="C135" s="364" t="s">
        <v>64</v>
      </c>
      <c r="D135" s="364" t="s">
        <v>64</v>
      </c>
      <c r="E135" s="364" t="s">
        <v>64</v>
      </c>
      <c r="F135" s="364" t="s">
        <v>64</v>
      </c>
      <c r="G135" s="510" t="str">
        <f>IF(OR(B135&lt;=$D$80,AND(B135&gt;$D$80,C135&amp;D135&amp;E135&amp;F135="NONNONNONNON")),IF(ISNA(VLOOKUP(C135&amp;D135&amp;E135&amp;F135,'Fiche n°2 - Traitement'!$B$309:$H$332,7,FALSE)),"veuillez indiquer une valeur",VLOOKUP(C135&amp;D135&amp;E135&amp;F135,'Fiche n°2 - Traitement'!$B$309:$H$332,7,FALSE)),"Ce crible ne devrait pas être utilisé et les valeurs devraient être ''NON'', ''NON'', ''NON'' et ''NON''")</f>
        <v>OK</v>
      </c>
      <c r="H135" s="750"/>
      <c r="I135" s="143"/>
    </row>
    <row r="136" spans="2:9" s="139" customFormat="1" ht="32.25" customHeight="1" x14ac:dyDescent="0.2">
      <c r="B136" s="377">
        <v>9</v>
      </c>
      <c r="C136" s="364" t="s">
        <v>64</v>
      </c>
      <c r="D136" s="364" t="s">
        <v>64</v>
      </c>
      <c r="E136" s="364" t="s">
        <v>64</v>
      </c>
      <c r="F136" s="364" t="s">
        <v>64</v>
      </c>
      <c r="G136" s="510" t="str">
        <f>IF(OR(B136&lt;=$D$80,AND(B136&gt;$D$80,C136&amp;D136&amp;E136&amp;F136="NONNONNONNON")),IF(ISNA(VLOOKUP(C136&amp;D136&amp;E136&amp;F136,'Fiche n°2 - Traitement'!$B$309:$H$332,7,FALSE)),"veuillez indiquer une valeur",VLOOKUP(C136&amp;D136&amp;E136&amp;F136,'Fiche n°2 - Traitement'!$B$309:$H$332,7,FALSE)),"Ce crible ne devrait pas être utilisé et les valeurs devraient être ''NON'', ''NON'', ''NON'' et ''NON''")</f>
        <v>OK</v>
      </c>
      <c r="H136" s="750"/>
      <c r="I136" s="143"/>
    </row>
    <row r="137" spans="2:9" s="139" customFormat="1" ht="32.25" customHeight="1" x14ac:dyDescent="0.2">
      <c r="B137" s="377">
        <v>10</v>
      </c>
      <c r="C137" s="364" t="s">
        <v>64</v>
      </c>
      <c r="D137" s="364" t="s">
        <v>64</v>
      </c>
      <c r="E137" s="364" t="s">
        <v>64</v>
      </c>
      <c r="F137" s="364" t="s">
        <v>64</v>
      </c>
      <c r="G137" s="510" t="str">
        <f>IF(OR(B137&lt;=$D$80,AND(B137&gt;$D$80,C137&amp;D137&amp;E137&amp;F137="NONNONNONNON")),IF(ISNA(VLOOKUP(C137&amp;D137&amp;E137&amp;F137,'Fiche n°2 - Traitement'!$B$309:$H$332,7,FALSE)),"veuillez indiquer une valeur",VLOOKUP(C137&amp;D137&amp;E137&amp;F137,'Fiche n°2 - Traitement'!$B$309:$H$332,7,FALSE)),"Ce crible ne devrait pas être utilisé et les valeurs devraient être ''NON'', ''NON'', ''NON'' et ''NON''")</f>
        <v>OK</v>
      </c>
      <c r="H137" s="750"/>
      <c r="I137" s="143"/>
    </row>
    <row r="138" spans="2:9" s="139" customFormat="1" ht="32.25" customHeight="1" x14ac:dyDescent="0.2">
      <c r="B138" s="377">
        <v>11</v>
      </c>
      <c r="C138" s="364" t="s">
        <v>64</v>
      </c>
      <c r="D138" s="364" t="s">
        <v>64</v>
      </c>
      <c r="E138" s="364" t="s">
        <v>64</v>
      </c>
      <c r="F138" s="364" t="s">
        <v>64</v>
      </c>
      <c r="G138" s="510" t="str">
        <f>IF(OR(B138&lt;=$D$80,AND(B138&gt;$D$80,C138&amp;D138&amp;E138&amp;F138="NONNONNONNON")),IF(ISNA(VLOOKUP(C138&amp;D138&amp;E138&amp;F138,'Fiche n°2 - Traitement'!$B$309:$H$332,7,FALSE)),"veuillez indiquer une valeur",VLOOKUP(C138&amp;D138&amp;E138&amp;F138,'Fiche n°2 - Traitement'!$B$309:$H$332,7,FALSE)),"Ce crible ne devrait pas être utilisé et les valeurs devraient être ''NON'', ''NON'', ''NON'' et ''NON''")</f>
        <v>OK</v>
      </c>
      <c r="H138" s="750"/>
      <c r="I138" s="143"/>
    </row>
    <row r="139" spans="2:9" s="139" customFormat="1" ht="32.25" customHeight="1" x14ac:dyDescent="0.2">
      <c r="B139" s="377">
        <v>12</v>
      </c>
      <c r="C139" s="364" t="s">
        <v>64</v>
      </c>
      <c r="D139" s="364" t="s">
        <v>64</v>
      </c>
      <c r="E139" s="364" t="s">
        <v>64</v>
      </c>
      <c r="F139" s="364" t="s">
        <v>64</v>
      </c>
      <c r="G139" s="510" t="str">
        <f>IF(OR(B139&lt;=$D$80,AND(B139&gt;$D$80,C139&amp;D139&amp;E139&amp;F139="NONNONNONNON")),IF(ISNA(VLOOKUP(C139&amp;D139&amp;E139&amp;F139,'Fiche n°2 - Traitement'!$B$309:$H$332,7,FALSE)),"veuillez indiquer une valeur",VLOOKUP(C139&amp;D139&amp;E139&amp;F139,'Fiche n°2 - Traitement'!$B$309:$H$332,7,FALSE)),"Ce crible ne devrait pas être utilisé et les valeurs devraient être ''NON'', ''NON'', ''NON'' et ''NON''")</f>
        <v>OK</v>
      </c>
      <c r="H139" s="750"/>
      <c r="I139" s="143"/>
    </row>
    <row r="140" spans="2:9" s="139" customFormat="1" ht="32.25" customHeight="1" x14ac:dyDescent="0.2">
      <c r="B140" s="377">
        <v>13</v>
      </c>
      <c r="C140" s="364" t="s">
        <v>64</v>
      </c>
      <c r="D140" s="364" t="s">
        <v>64</v>
      </c>
      <c r="E140" s="364" t="s">
        <v>64</v>
      </c>
      <c r="F140" s="364" t="s">
        <v>64</v>
      </c>
      <c r="G140" s="510" t="str">
        <f>IF(OR(B140&lt;=$D$80,AND(B140&gt;$D$80,C140&amp;D140&amp;E140&amp;F140="NONNONNONNON")),IF(ISNA(VLOOKUP(C140&amp;D140&amp;E140&amp;F140,'Fiche n°2 - Traitement'!$B$309:$H$332,7,FALSE)),"veuillez indiquer une valeur",VLOOKUP(C140&amp;D140&amp;E140&amp;F140,'Fiche n°2 - Traitement'!$B$309:$H$332,7,FALSE)),"Ce crible ne devrait pas être utilisé et les valeurs devraient être ''NON'', ''NON'', ''NON'' et ''NON''")</f>
        <v>OK</v>
      </c>
      <c r="H140" s="751"/>
      <c r="I140" s="143"/>
    </row>
    <row r="141" spans="2:9" s="139" customFormat="1" ht="32.25" customHeight="1" x14ac:dyDescent="0.2">
      <c r="B141" s="363" t="s">
        <v>348</v>
      </c>
      <c r="C141" s="589" t="s">
        <v>519</v>
      </c>
      <c r="D141" s="306" t="s">
        <v>350</v>
      </c>
      <c r="E141" s="306" t="s">
        <v>440</v>
      </c>
      <c r="F141" s="150" t="s">
        <v>359</v>
      </c>
      <c r="G141" s="306" t="s">
        <v>293</v>
      </c>
      <c r="H141" s="142"/>
    </row>
    <row r="142" spans="2:9" s="139" customFormat="1" ht="32.25" customHeight="1" x14ac:dyDescent="0.2">
      <c r="B142" s="375">
        <v>1</v>
      </c>
      <c r="C142" s="364" t="s">
        <v>64</v>
      </c>
      <c r="D142" s="364" t="s">
        <v>64</v>
      </c>
      <c r="E142" s="364" t="s">
        <v>64</v>
      </c>
      <c r="F142" s="364" t="s">
        <v>64</v>
      </c>
      <c r="G142" s="551" t="str">
        <f>IF(OR(B142&lt;=$D$81,AND(B142&gt;$D$81,C142&amp;D142&amp;E142&amp;F142="NONNONNONNON")),IF(ISNA(VLOOKUP(C142&amp;D142&amp;E142&amp;F142,'Fiche n°2 - Traitement'!$B$309:$H$332,7,FALSE)),"veuillez indiquer une valeur",VLOOKUP(C142&amp;D142&amp;E142&amp;F142,'Fiche n°2 - Traitement'!$B$309:$H$332,7,FALSE)),"Ce crible ne devrait pas être utilisé et les valeurs devraient être ''NON'', ''NON'', ''NON'' et ''NON''")</f>
        <v>OK</v>
      </c>
      <c r="H142" s="749" t="s">
        <v>412</v>
      </c>
      <c r="I142" s="143"/>
    </row>
    <row r="143" spans="2:9" s="139" customFormat="1" ht="32.25" customHeight="1" x14ac:dyDescent="0.2">
      <c r="B143" s="375">
        <v>2</v>
      </c>
      <c r="C143" s="364" t="s">
        <v>64</v>
      </c>
      <c r="D143" s="364" t="s">
        <v>64</v>
      </c>
      <c r="E143" s="364" t="s">
        <v>64</v>
      </c>
      <c r="F143" s="364" t="s">
        <v>64</v>
      </c>
      <c r="G143" s="552" t="str">
        <f>IF(OR(B143&lt;=$D$81,AND(B143&gt;$D$81,C143&amp;D143&amp;E143&amp;F143="NONNONNONNON")),IF(ISNA(VLOOKUP(C143&amp;D143&amp;E143&amp;F143,'Fiche n°2 - Traitement'!$B$309:$H$332,7,FALSE)),"veuillez indiquer une valeur",VLOOKUP(C143&amp;D143&amp;E143&amp;F143,'Fiche n°2 - Traitement'!$B$309:$H$332,7,FALSE)),"Ce crible ne devrait pas être utilisé et les valeurs devraient être ''NON'', ''NON'', ''NON'' et ''NON''")</f>
        <v>OK</v>
      </c>
      <c r="H143" s="750"/>
      <c r="I143" s="143"/>
    </row>
    <row r="144" spans="2:9" s="139" customFormat="1" ht="32.25" customHeight="1" x14ac:dyDescent="0.2">
      <c r="B144" s="375">
        <v>3</v>
      </c>
      <c r="C144" s="364" t="s">
        <v>64</v>
      </c>
      <c r="D144" s="364" t="s">
        <v>64</v>
      </c>
      <c r="E144" s="364" t="s">
        <v>64</v>
      </c>
      <c r="F144" s="364" t="s">
        <v>64</v>
      </c>
      <c r="G144" s="552" t="str">
        <f>IF(OR(B144&lt;=$D$81,AND(B144&gt;$D$81,C144&amp;D144&amp;E144&amp;F144="NONNONNONNON")),IF(ISNA(VLOOKUP(C144&amp;D144&amp;E144&amp;F144,'Fiche n°2 - Traitement'!$B$309:$H$332,7,FALSE)),"veuillez indiquer une valeur",VLOOKUP(C144&amp;D144&amp;E144&amp;F144,'Fiche n°2 - Traitement'!$B$309:$H$332,7,FALSE)),"Ce crible ne devrait pas être utilisé et les valeurs devraient être ''NON'', ''NON'', ''NON'' et ''NON''")</f>
        <v>OK</v>
      </c>
      <c r="H144" s="750"/>
      <c r="I144" s="143"/>
    </row>
    <row r="145" spans="2:9" s="139" customFormat="1" ht="32.25" customHeight="1" x14ac:dyDescent="0.2">
      <c r="B145" s="375">
        <v>4</v>
      </c>
      <c r="C145" s="364" t="s">
        <v>64</v>
      </c>
      <c r="D145" s="364" t="s">
        <v>64</v>
      </c>
      <c r="E145" s="364" t="s">
        <v>64</v>
      </c>
      <c r="F145" s="364" t="s">
        <v>64</v>
      </c>
      <c r="G145" s="552" t="str">
        <f>IF(OR(B145&lt;=$D$81,AND(B145&gt;$D$81,C145&amp;D145&amp;E145&amp;F145="NONNONNONNON")),IF(ISNA(VLOOKUP(C145&amp;D145&amp;E145&amp;F145,'Fiche n°2 - Traitement'!$B$309:$H$332,7,FALSE)),"veuillez indiquer une valeur",VLOOKUP(C145&amp;D145&amp;E145&amp;F145,'Fiche n°2 - Traitement'!$B$309:$H$332,7,FALSE)),"Ce crible ne devrait pas être utilisé et les valeurs devraient être ''NON'', ''NON'', ''NON'' et ''NON''")</f>
        <v>OK</v>
      </c>
      <c r="H145" s="750"/>
      <c r="I145" s="143"/>
    </row>
    <row r="146" spans="2:9" s="139" customFormat="1" ht="32.25" customHeight="1" x14ac:dyDescent="0.2">
      <c r="B146" s="375">
        <v>5</v>
      </c>
      <c r="C146" s="364" t="s">
        <v>64</v>
      </c>
      <c r="D146" s="364" t="s">
        <v>64</v>
      </c>
      <c r="E146" s="364" t="s">
        <v>64</v>
      </c>
      <c r="F146" s="364" t="s">
        <v>64</v>
      </c>
      <c r="G146" s="552" t="str">
        <f>IF(OR(B146&lt;=$D$81,AND(B146&gt;$D$81,C146&amp;D146&amp;E146&amp;F146="NONNONNONNON")),IF(ISNA(VLOOKUP(C146&amp;D146&amp;E146&amp;F146,'Fiche n°2 - Traitement'!$B$309:$H$332,7,FALSE)),"veuillez indiquer une valeur",VLOOKUP(C146&amp;D146&amp;E146&amp;F146,'Fiche n°2 - Traitement'!$B$309:$H$332,7,FALSE)),"Ce crible ne devrait pas être utilisé et les valeurs devraient être ''NON'', ''NON'', ''NON'' et ''NON''")</f>
        <v>OK</v>
      </c>
      <c r="H146" s="750"/>
      <c r="I146" s="143"/>
    </row>
    <row r="147" spans="2:9" s="139" customFormat="1" ht="32.25" customHeight="1" x14ac:dyDescent="0.2">
      <c r="B147" s="375">
        <v>6</v>
      </c>
      <c r="C147" s="364" t="s">
        <v>64</v>
      </c>
      <c r="D147" s="364" t="s">
        <v>64</v>
      </c>
      <c r="E147" s="364" t="s">
        <v>64</v>
      </c>
      <c r="F147" s="364" t="s">
        <v>64</v>
      </c>
      <c r="G147" s="552" t="str">
        <f>IF(OR(B147&lt;=$D$81,AND(B147&gt;$D$81,C147&amp;D147&amp;E147&amp;F147="NONNONNONNON")),IF(ISNA(VLOOKUP(C147&amp;D147&amp;E147&amp;F147,'Fiche n°2 - Traitement'!$B$309:$H$332,7,FALSE)),"veuillez indiquer une valeur",VLOOKUP(C147&amp;D147&amp;E147&amp;F147,'Fiche n°2 - Traitement'!$B$309:$H$332,7,FALSE)),"Ce crible ne devrait pas être utilisé et les valeurs devraient être ''NON'', ''NON'', ''NON'' et ''NON''")</f>
        <v>OK</v>
      </c>
      <c r="H147" s="750"/>
      <c r="I147" s="143"/>
    </row>
    <row r="148" spans="2:9" s="139" customFormat="1" ht="32.25" customHeight="1" x14ac:dyDescent="0.2">
      <c r="B148" s="375">
        <v>7</v>
      </c>
      <c r="C148" s="364" t="s">
        <v>64</v>
      </c>
      <c r="D148" s="364" t="s">
        <v>64</v>
      </c>
      <c r="E148" s="364" t="s">
        <v>64</v>
      </c>
      <c r="F148" s="364" t="s">
        <v>64</v>
      </c>
      <c r="G148" s="552" t="str">
        <f>IF(OR(B148&lt;=$D$81,AND(B148&gt;$D$81,C148&amp;D148&amp;E148&amp;F148="NONNONNONNON")),IF(ISNA(VLOOKUP(C148&amp;D148&amp;E148&amp;F148,'Fiche n°2 - Traitement'!$B$309:$H$332,7,FALSE)),"veuillez indiquer une valeur",VLOOKUP(C148&amp;D148&amp;E148&amp;F148,'Fiche n°2 - Traitement'!$B$309:$H$332,7,FALSE)),"Ce crible ne devrait pas être utilisé et les valeurs devraient être ''NON'', ''NON'', ''NON'' et ''NON''")</f>
        <v>OK</v>
      </c>
      <c r="H148" s="750"/>
      <c r="I148" s="143"/>
    </row>
    <row r="149" spans="2:9" s="139" customFormat="1" ht="32.25" customHeight="1" x14ac:dyDescent="0.2">
      <c r="B149" s="375">
        <v>8</v>
      </c>
      <c r="C149" s="364" t="s">
        <v>64</v>
      </c>
      <c r="D149" s="364" t="s">
        <v>64</v>
      </c>
      <c r="E149" s="364" t="s">
        <v>64</v>
      </c>
      <c r="F149" s="364" t="s">
        <v>64</v>
      </c>
      <c r="G149" s="552" t="str">
        <f>IF(OR(B149&lt;=$D$81,AND(B149&gt;$D$81,C149&amp;D149&amp;E149&amp;F149="NONNONNONNON")),IF(ISNA(VLOOKUP(C149&amp;D149&amp;E149&amp;F149,'Fiche n°2 - Traitement'!$B$309:$H$332,7,FALSE)),"veuillez indiquer une valeur",VLOOKUP(C149&amp;D149&amp;E149&amp;F149,'Fiche n°2 - Traitement'!$B$309:$H$332,7,FALSE)),"Ce crible ne devrait pas être utilisé et les valeurs devraient être ''NON'', ''NON'', ''NON'' et ''NON''")</f>
        <v>OK</v>
      </c>
      <c r="H149" s="750"/>
      <c r="I149" s="143"/>
    </row>
    <row r="150" spans="2:9" s="139" customFormat="1" ht="32.25" customHeight="1" x14ac:dyDescent="0.2">
      <c r="B150" s="375">
        <v>9</v>
      </c>
      <c r="C150" s="364" t="s">
        <v>64</v>
      </c>
      <c r="D150" s="364" t="s">
        <v>64</v>
      </c>
      <c r="E150" s="364" t="s">
        <v>64</v>
      </c>
      <c r="F150" s="364" t="s">
        <v>64</v>
      </c>
      <c r="G150" s="552" t="str">
        <f>IF(OR(B150&lt;=$D$81,AND(B150&gt;$D$81,C150&amp;D150&amp;E150&amp;F150="NONNONNONNON")),IF(ISNA(VLOOKUP(C150&amp;D150&amp;E150&amp;F150,'Fiche n°2 - Traitement'!$B$309:$H$332,7,FALSE)),"veuillez indiquer une valeur",VLOOKUP(C150&amp;D150&amp;E150&amp;F150,'Fiche n°2 - Traitement'!$B$309:$H$332,7,FALSE)),"Ce crible ne devrait pas être utilisé et les valeurs devraient être ''NON'', ''NON'', ''NON'' et ''NON''")</f>
        <v>OK</v>
      </c>
      <c r="H150" s="750"/>
      <c r="I150" s="143"/>
    </row>
    <row r="151" spans="2:9" s="139" customFormat="1" ht="32.25" customHeight="1" x14ac:dyDescent="0.2">
      <c r="B151" s="375">
        <v>10</v>
      </c>
      <c r="C151" s="364" t="s">
        <v>64</v>
      </c>
      <c r="D151" s="364" t="s">
        <v>64</v>
      </c>
      <c r="E151" s="364" t="s">
        <v>64</v>
      </c>
      <c r="F151" s="364" t="s">
        <v>64</v>
      </c>
      <c r="G151" s="552" t="str">
        <f>IF(OR(B151&lt;=$D$81,AND(B151&gt;$D$81,C151&amp;D151&amp;E151&amp;F151="NONNONNONNON")),IF(ISNA(VLOOKUP(C151&amp;D151&amp;E151&amp;F151,'Fiche n°2 - Traitement'!$B$309:$H$332,7,FALSE)),"veuillez indiquer une valeur",VLOOKUP(C151&amp;D151&amp;E151&amp;F151,'Fiche n°2 - Traitement'!$B$309:$H$332,7,FALSE)),"Ce crible ne devrait pas être utilisé et les valeurs devraient être ''NON'', ''NON'', ''NON'' et ''NON''")</f>
        <v>OK</v>
      </c>
      <c r="H151" s="750"/>
      <c r="I151" s="143"/>
    </row>
    <row r="152" spans="2:9" s="139" customFormat="1" ht="32.25" customHeight="1" x14ac:dyDescent="0.2">
      <c r="B152" s="375">
        <v>11</v>
      </c>
      <c r="C152" s="364" t="s">
        <v>64</v>
      </c>
      <c r="D152" s="364" t="s">
        <v>64</v>
      </c>
      <c r="E152" s="364" t="s">
        <v>64</v>
      </c>
      <c r="F152" s="364" t="s">
        <v>64</v>
      </c>
      <c r="G152" s="552" t="str">
        <f>IF(OR(B152&lt;=$D$81,AND(B152&gt;$D$81,C152&amp;D152&amp;E152&amp;F152="NONNONNONNON")),IF(ISNA(VLOOKUP(C152&amp;D152&amp;E152&amp;F152,'Fiche n°2 - Traitement'!$B$309:$H$332,7,FALSE)),"veuillez indiquer une valeur",VLOOKUP(C152&amp;D152&amp;E152&amp;F152,'Fiche n°2 - Traitement'!$B$309:$H$332,7,FALSE)),"Ce crible ne devrait pas être utilisé et les valeurs devraient être ''NON'', ''NON'', ''NON'' et ''NON''")</f>
        <v>OK</v>
      </c>
      <c r="H152" s="750"/>
      <c r="I152" s="143"/>
    </row>
    <row r="153" spans="2:9" s="139" customFormat="1" ht="32.25" customHeight="1" x14ac:dyDescent="0.2">
      <c r="B153" s="375">
        <v>12</v>
      </c>
      <c r="C153" s="364" t="s">
        <v>64</v>
      </c>
      <c r="D153" s="364" t="s">
        <v>64</v>
      </c>
      <c r="E153" s="364" t="s">
        <v>64</v>
      </c>
      <c r="F153" s="364" t="s">
        <v>64</v>
      </c>
      <c r="G153" s="552" t="str">
        <f>IF(OR(B153&lt;=$D$81,AND(B153&gt;$D$81,C153&amp;D153&amp;E153&amp;F153="NONNONNONNON")),IF(ISNA(VLOOKUP(C153&amp;D153&amp;E153&amp;F153,'Fiche n°2 - Traitement'!$B$309:$H$332,7,FALSE)),"veuillez indiquer une valeur",VLOOKUP(C153&amp;D153&amp;E153&amp;F153,'Fiche n°2 - Traitement'!$B$309:$H$332,7,FALSE)),"Ce crible ne devrait pas être utilisé et les valeurs devraient être ''NON'', ''NON'', ''NON'' et ''NON''")</f>
        <v>OK</v>
      </c>
      <c r="H153" s="750"/>
      <c r="I153" s="143"/>
    </row>
    <row r="154" spans="2:9" s="139" customFormat="1" ht="32.25" customHeight="1" x14ac:dyDescent="0.2">
      <c r="B154" s="375">
        <v>13</v>
      </c>
      <c r="C154" s="364" t="s">
        <v>64</v>
      </c>
      <c r="D154" s="364" t="s">
        <v>64</v>
      </c>
      <c r="E154" s="364" t="s">
        <v>64</v>
      </c>
      <c r="F154" s="364" t="s">
        <v>64</v>
      </c>
      <c r="G154" s="552" t="str">
        <f>IF(OR(B154&lt;=$D$81,AND(B154&gt;$D$81,C154&amp;D154&amp;E154&amp;F154="NONNONNONNON")),IF(ISNA(VLOOKUP(C154&amp;D154&amp;E154&amp;F154,'Fiche n°2 - Traitement'!$B$309:$H$332,7,FALSE)),"veuillez indiquer une valeur",VLOOKUP(C154&amp;D154&amp;E154&amp;F154,'Fiche n°2 - Traitement'!$B$309:$H$332,7,FALSE)),"Ce crible ne devrait pas être utilisé et les valeurs devraient être ''NON'', ''NON'', ''NON'' et ''NON''")</f>
        <v>OK</v>
      </c>
      <c r="H154" s="750"/>
      <c r="I154" s="143"/>
    </row>
    <row r="155" spans="2:9" s="139" customFormat="1" ht="32.25" customHeight="1" x14ac:dyDescent="0.2">
      <c r="B155" s="375">
        <v>14</v>
      </c>
      <c r="C155" s="364" t="s">
        <v>64</v>
      </c>
      <c r="D155" s="364" t="s">
        <v>64</v>
      </c>
      <c r="E155" s="364" t="s">
        <v>64</v>
      </c>
      <c r="F155" s="364" t="s">
        <v>64</v>
      </c>
      <c r="G155" s="552" t="str">
        <f>IF(OR(B155&lt;=$D$81,AND(B155&gt;$D$81,C155&amp;D155&amp;E155&amp;F155="NONNONNONNON")),IF(ISNA(VLOOKUP(C155&amp;D155&amp;E155&amp;F155,'Fiche n°2 - Traitement'!$B$309:$H$332,7,FALSE)),"veuillez indiquer une valeur",VLOOKUP(C155&amp;D155&amp;E155&amp;F155,'Fiche n°2 - Traitement'!$B$309:$H$332,7,FALSE)),"Ce crible ne devrait pas être utilisé et les valeurs devraient être ''NON'', ''NON'', ''NON'' et ''NON''")</f>
        <v>OK</v>
      </c>
      <c r="H155" s="750"/>
      <c r="I155" s="143"/>
    </row>
    <row r="156" spans="2:9" s="139" customFormat="1" ht="32.25" customHeight="1" x14ac:dyDescent="0.2">
      <c r="B156" s="375">
        <v>15</v>
      </c>
      <c r="C156" s="364" t="s">
        <v>64</v>
      </c>
      <c r="D156" s="364" t="s">
        <v>64</v>
      </c>
      <c r="E156" s="364" t="s">
        <v>64</v>
      </c>
      <c r="F156" s="512" t="s">
        <v>64</v>
      </c>
      <c r="G156" s="553" t="str">
        <f>IF(OR(B156&lt;=$D$81,AND(B156&gt;$D$81,C156&amp;D156&amp;E156&amp;F156="NONNONNONNON")),IF(ISNA(VLOOKUP(C156&amp;D156&amp;E156&amp;F156,'Fiche n°2 - Traitement'!$B$309:$H$332,7,FALSE)),"veuillez indiquer une valeur",VLOOKUP(C156&amp;D156&amp;E156&amp;F156,'Fiche n°2 - Traitement'!$B$309:$H$332,7,FALSE)),"Ce crible ne devrait pas être utilisé et les valeurs devraient être ''NON'', ''NON'', ''NON'' et ''NON''")</f>
        <v>OK</v>
      </c>
      <c r="H156" s="751"/>
      <c r="I156" s="143"/>
    </row>
    <row r="157" spans="2:9" ht="32.25" customHeight="1" x14ac:dyDescent="0.25">
      <c r="B157" s="389" t="s">
        <v>121</v>
      </c>
      <c r="C157" s="390"/>
      <c r="D157" s="391"/>
      <c r="E157" s="391"/>
      <c r="F157" s="330"/>
    </row>
    <row r="158" spans="2:9" ht="32.25" customHeight="1" x14ac:dyDescent="0.25">
      <c r="B158" s="336" t="s">
        <v>404</v>
      </c>
      <c r="C158" s="306" t="s">
        <v>41</v>
      </c>
      <c r="D158" s="150" t="s">
        <v>46</v>
      </c>
      <c r="E158" s="306" t="s">
        <v>293</v>
      </c>
      <c r="F158" s="359"/>
    </row>
    <row r="159" spans="2:9" ht="31.5" customHeight="1" x14ac:dyDescent="0.25">
      <c r="B159" s="275" t="s">
        <v>396</v>
      </c>
      <c r="C159" s="365" t="s">
        <v>149</v>
      </c>
      <c r="D159" s="352"/>
      <c r="E159" s="335" t="e">
        <f t="shared" ref="E159:E167" si="2">IF($C$22="X",IF(ISBLANK(D159),"veuillez indiquer une valeur","OK"),IF(ISBLANK(D159),"OK","Attention cette activité ne vous concerne pas"))</f>
        <v>#N/A</v>
      </c>
      <c r="F159" s="330"/>
    </row>
    <row r="160" spans="2:9" ht="31.5" customHeight="1" x14ac:dyDescent="0.25">
      <c r="B160" s="353" t="s">
        <v>320</v>
      </c>
      <c r="C160" s="366" t="s">
        <v>37</v>
      </c>
      <c r="D160" s="354"/>
      <c r="E160" s="335" t="e">
        <f t="shared" si="2"/>
        <v>#N/A</v>
      </c>
    </row>
    <row r="161" spans="2:5" ht="31.5" customHeight="1" x14ac:dyDescent="0.25">
      <c r="B161" s="353" t="s">
        <v>354</v>
      </c>
      <c r="C161" s="366" t="s">
        <v>52</v>
      </c>
      <c r="D161" s="354"/>
      <c r="E161" s="335" t="e">
        <f t="shared" si="2"/>
        <v>#N/A</v>
      </c>
    </row>
    <row r="162" spans="2:5" ht="31.5" customHeight="1" x14ac:dyDescent="0.25">
      <c r="B162" s="353" t="s">
        <v>322</v>
      </c>
      <c r="C162" s="310" t="s">
        <v>365</v>
      </c>
      <c r="D162" s="354"/>
      <c r="E162" s="335" t="e">
        <f t="shared" si="2"/>
        <v>#N/A</v>
      </c>
    </row>
    <row r="163" spans="2:5" ht="31.5" customHeight="1" x14ac:dyDescent="0.25">
      <c r="B163" s="353" t="s">
        <v>332</v>
      </c>
      <c r="C163" s="366" t="s">
        <v>51</v>
      </c>
      <c r="D163" s="367"/>
      <c r="E163" s="335" t="e">
        <f>IF($C$22="X",IF(ISBLANK(D163),"veuillez indiquer une valeur","OK"),IF(ISBLANK(D163),"OK","Attention cette activité ne vous concerne pas"))</f>
        <v>#N/A</v>
      </c>
    </row>
    <row r="164" spans="2:5" ht="31.5" customHeight="1" x14ac:dyDescent="0.25">
      <c r="B164" s="590" t="s">
        <v>534</v>
      </c>
      <c r="C164" s="591" t="s">
        <v>1</v>
      </c>
      <c r="D164" s="514"/>
      <c r="E164" s="335" t="e">
        <f>IF(AND($C$22="X",D163&gt;0),IF(ISBLANK(D164),"veuillez indiquer une valeur","OK"),IF(ISBLANK(D164),"OK","Attention cette activité ne vous concerne pas"))</f>
        <v>#N/A</v>
      </c>
    </row>
    <row r="165" spans="2:5" ht="31.5" customHeight="1" x14ac:dyDescent="0.25">
      <c r="B165" s="590" t="s">
        <v>537</v>
      </c>
      <c r="C165" s="365" t="s">
        <v>51</v>
      </c>
      <c r="D165" s="367"/>
      <c r="E165" s="335" t="e">
        <f>IF(AND($C$22="X",D163&gt;0),IF(ISBLANK(D165),"veuillez indiquer une valeur","OK"),IF(ISBLANK(D165),"OK","Attention cette activité ne vous concerne pas"))</f>
        <v>#N/A</v>
      </c>
    </row>
    <row r="166" spans="2:5" ht="31.5" customHeight="1" x14ac:dyDescent="0.25">
      <c r="B166" s="353" t="s">
        <v>391</v>
      </c>
      <c r="C166" s="310" t="s">
        <v>55</v>
      </c>
      <c r="D166" s="354"/>
      <c r="E166" s="335" t="e">
        <f t="shared" si="2"/>
        <v>#N/A</v>
      </c>
    </row>
    <row r="167" spans="2:5" ht="31.5" customHeight="1" x14ac:dyDescent="0.25">
      <c r="B167" s="355" t="s">
        <v>108</v>
      </c>
      <c r="C167" s="311" t="s">
        <v>51</v>
      </c>
      <c r="D167" s="368"/>
      <c r="E167" s="335" t="e">
        <f t="shared" si="2"/>
        <v>#N/A</v>
      </c>
    </row>
    <row r="168" spans="2:5" ht="32.25" customHeight="1" x14ac:dyDescent="0.25">
      <c r="B168" s="336" t="s">
        <v>405</v>
      </c>
      <c r="C168" s="306" t="s">
        <v>41</v>
      </c>
      <c r="D168" s="150" t="s">
        <v>46</v>
      </c>
      <c r="E168" s="306" t="s">
        <v>293</v>
      </c>
    </row>
    <row r="169" spans="2:5" ht="32.25" customHeight="1" x14ac:dyDescent="0.25">
      <c r="B169" s="275" t="s">
        <v>144</v>
      </c>
      <c r="C169" s="366" t="s">
        <v>37</v>
      </c>
      <c r="D169" s="352"/>
      <c r="E169" s="335" t="e">
        <f t="shared" ref="E169:E178" si="3">IF($C$22="X",IF(ISBLANK(D169),"veuillez indiquer une valeur","OK"),IF(ISBLANK(D169),"OK","Attention cette activité ne vous concerne pas"))</f>
        <v>#N/A</v>
      </c>
    </row>
    <row r="170" spans="2:5" ht="32.25" customHeight="1" x14ac:dyDescent="0.25">
      <c r="B170" s="353" t="s">
        <v>145</v>
      </c>
      <c r="C170" s="366" t="s">
        <v>37</v>
      </c>
      <c r="D170" s="354"/>
      <c r="E170" s="335" t="e">
        <f t="shared" si="3"/>
        <v>#N/A</v>
      </c>
    </row>
    <row r="171" spans="2:5" ht="32.25" customHeight="1" x14ac:dyDescent="0.25">
      <c r="B171" s="353" t="s">
        <v>146</v>
      </c>
      <c r="C171" s="366" t="s">
        <v>37</v>
      </c>
      <c r="D171" s="354"/>
      <c r="E171" s="335" t="e">
        <f t="shared" si="3"/>
        <v>#N/A</v>
      </c>
    </row>
    <row r="172" spans="2:5" ht="32.25" customHeight="1" x14ac:dyDescent="0.25">
      <c r="B172" s="353" t="s">
        <v>147</v>
      </c>
      <c r="C172" s="366" t="s">
        <v>37</v>
      </c>
      <c r="D172" s="354"/>
      <c r="E172" s="335" t="e">
        <f t="shared" si="3"/>
        <v>#N/A</v>
      </c>
    </row>
    <row r="173" spans="2:5" ht="32.25" customHeight="1" x14ac:dyDescent="0.25">
      <c r="B173" s="353" t="s">
        <v>148</v>
      </c>
      <c r="C173" s="366" t="s">
        <v>149</v>
      </c>
      <c r="D173" s="354"/>
      <c r="E173" s="335" t="e">
        <f t="shared" si="3"/>
        <v>#N/A</v>
      </c>
    </row>
    <row r="174" spans="2:5" ht="32.25" customHeight="1" x14ac:dyDescent="0.25">
      <c r="B174" s="353" t="s">
        <v>333</v>
      </c>
      <c r="C174" s="366" t="s">
        <v>51</v>
      </c>
      <c r="D174" s="367"/>
      <c r="E174" s="335" t="e">
        <f t="shared" si="3"/>
        <v>#N/A</v>
      </c>
    </row>
    <row r="175" spans="2:5" ht="32.25" customHeight="1" x14ac:dyDescent="0.25">
      <c r="B175" s="590" t="s">
        <v>535</v>
      </c>
      <c r="C175" s="591" t="s">
        <v>1</v>
      </c>
      <c r="D175" s="514"/>
      <c r="E175" s="335" t="e">
        <f>IF(AND($C$22="X",D174&gt;0),IF(ISBLANK(D175),"veuillez indiquer une valeur","OK"),IF(ISBLANK(D175),"OK","Attention cette activité ne vous concerne pas"))</f>
        <v>#N/A</v>
      </c>
    </row>
    <row r="176" spans="2:5" ht="32.25" customHeight="1" x14ac:dyDescent="0.25">
      <c r="B176" s="590" t="s">
        <v>536</v>
      </c>
      <c r="C176" s="365" t="s">
        <v>51</v>
      </c>
      <c r="D176" s="367"/>
      <c r="E176" s="335" t="e">
        <f>IF(AND($C$22="X",D174&gt;0),IF(ISBLANK(D176),"veuillez indiquer une valeur","OK"),IF(ISBLANK(D176),"OK","Attention cette activité ne vous concerne pas"))</f>
        <v>#N/A</v>
      </c>
    </row>
    <row r="177" spans="1:11" ht="32.25" customHeight="1" x14ac:dyDescent="0.25">
      <c r="B177" s="353" t="s">
        <v>392</v>
      </c>
      <c r="C177" s="310" t="s">
        <v>351</v>
      </c>
      <c r="D177" s="354"/>
      <c r="E177" s="335" t="e">
        <f t="shared" si="3"/>
        <v>#N/A</v>
      </c>
    </row>
    <row r="178" spans="1:11" ht="32.25" customHeight="1" x14ac:dyDescent="0.25">
      <c r="B178" s="355" t="s">
        <v>393</v>
      </c>
      <c r="C178" s="311" t="s">
        <v>51</v>
      </c>
      <c r="D178" s="368"/>
      <c r="E178" s="335" t="e">
        <f t="shared" si="3"/>
        <v>#N/A</v>
      </c>
    </row>
    <row r="179" spans="1:11" ht="32.25" customHeight="1" x14ac:dyDescent="0.25">
      <c r="B179" s="336" t="s">
        <v>150</v>
      </c>
      <c r="C179" s="306" t="s">
        <v>41</v>
      </c>
      <c r="D179" s="150" t="s">
        <v>46</v>
      </c>
      <c r="E179" s="306" t="s">
        <v>293</v>
      </c>
    </row>
    <row r="180" spans="1:11" ht="32.25" customHeight="1" x14ac:dyDescent="0.25">
      <c r="B180" s="353" t="s">
        <v>298</v>
      </c>
      <c r="C180" s="501" t="s">
        <v>195</v>
      </c>
      <c r="D180" s="489"/>
      <c r="E180" s="335" t="str">
        <f>IF(ISBLANK(D180),"veuillez indiquer une valeur",IF(D180="OUI","OK",IF(AND(D180="non",ISBLANK(C7)),"veuillez indiquer votre département dans la case C7","OK, les données utilisées par défaut seront les données météo de 2018")))</f>
        <v>veuillez indiquer une valeur</v>
      </c>
      <c r="I180" s="253"/>
    </row>
    <row r="181" spans="1:11" ht="32.25" customHeight="1" x14ac:dyDescent="0.25">
      <c r="B181" s="353" t="s">
        <v>141</v>
      </c>
      <c r="C181" s="310" t="s">
        <v>352</v>
      </c>
      <c r="D181" s="488"/>
      <c r="E181" s="335" t="str">
        <f>IF(AND(OR($D$180="OUI",ISBLANK($D$180)),ISBLANK(D181)),"veuillez indiquer une valeur","OK")</f>
        <v>veuillez indiquer une valeur</v>
      </c>
      <c r="I181" s="255"/>
    </row>
    <row r="182" spans="1:11" ht="32.25" customHeight="1" x14ac:dyDescent="0.25">
      <c r="B182" s="353" t="s">
        <v>86</v>
      </c>
      <c r="C182" s="310" t="s">
        <v>352</v>
      </c>
      <c r="D182" s="369"/>
      <c r="E182" s="335" t="str">
        <f>IF(AND(OR($D$180="OUI",ISBLANK($D$180)),ISBLANK(D182)),"veuillez indiquer une valeur","OK")</f>
        <v>veuillez indiquer une valeur</v>
      </c>
      <c r="I182" s="255"/>
    </row>
    <row r="183" spans="1:11" ht="32.25" customHeight="1" x14ac:dyDescent="0.25">
      <c r="B183" s="407" t="s">
        <v>151</v>
      </c>
      <c r="C183" s="408" t="s">
        <v>92</v>
      </c>
      <c r="D183" s="490"/>
      <c r="E183" s="335" t="str">
        <f>IF(AND(OR($D$180="OUI",ISBLANK($D$180)),ISBLANK(D183)),"veuillez indiquer une valeur","OK")</f>
        <v>veuillez indiquer une valeur</v>
      </c>
      <c r="I183" s="255"/>
    </row>
    <row r="184" spans="1:11" ht="32.25" customHeight="1" x14ac:dyDescent="0.25">
      <c r="B184" s="738" t="s">
        <v>515</v>
      </c>
      <c r="C184" s="739"/>
      <c r="D184" s="739"/>
      <c r="E184" s="739"/>
      <c r="F184" s="739"/>
      <c r="G184" s="740"/>
      <c r="K184" s="222"/>
    </row>
    <row r="185" spans="1:11" ht="32.25" customHeight="1" x14ac:dyDescent="0.25">
      <c r="B185" s="363" t="s">
        <v>531</v>
      </c>
      <c r="C185" s="306" t="s">
        <v>41</v>
      </c>
      <c r="D185" s="306" t="s">
        <v>314</v>
      </c>
      <c r="E185" s="150" t="s">
        <v>315</v>
      </c>
      <c r="F185" s="150" t="s">
        <v>316</v>
      </c>
      <c r="G185" s="150" t="s">
        <v>317</v>
      </c>
      <c r="H185" s="306" t="s">
        <v>293</v>
      </c>
    </row>
    <row r="186" spans="1:11" ht="32.25" customHeight="1" x14ac:dyDescent="0.25">
      <c r="B186" s="370" t="s">
        <v>516</v>
      </c>
      <c r="C186" s="310" t="s">
        <v>37</v>
      </c>
      <c r="D186" s="502"/>
      <c r="E186" s="502"/>
      <c r="F186" s="502"/>
      <c r="G186" s="502"/>
      <c r="H186" s="335" t="e">
        <f>IF($C$23="X",IF(OR(COUNTA(D186:G186,D189:G189)=0,COUNTIF(D243:G243,"Q")&gt;0),"veuillez indiquer une valeur en stock protégé et/ou non protégé","OK"),IF(COUNTA(D186:G186,D189:G189)=0,"OK","Attention cette activité ne vous concerne pas "))</f>
        <v>#N/A</v>
      </c>
      <c r="I186" s="253"/>
    </row>
    <row r="187" spans="1:11" ht="32.25" customHeight="1" x14ac:dyDescent="0.25">
      <c r="B187" s="407" t="s">
        <v>442</v>
      </c>
      <c r="C187" s="721" t="s">
        <v>51</v>
      </c>
      <c r="D187" s="503"/>
      <c r="E187" s="503"/>
      <c r="F187" s="503"/>
      <c r="G187" s="503"/>
      <c r="H187" s="335" t="e">
        <f>IF($C$23="X",IF(OR(COUNTA(D187:G187,D190:G190)=0,COUNTIF(D243:G243,"TH")&gt;0),"veuillez indiquer une valeur","OK"),IF(COUNTA(D187:G187,D190:G190)=0,"OK","Attention cette activité ne vous concerne pas "))</f>
        <v>#N/A</v>
      </c>
      <c r="I187" s="253"/>
    </row>
    <row r="188" spans="1:11" ht="32.25" customHeight="1" x14ac:dyDescent="0.25">
      <c r="B188" s="592" t="s">
        <v>555</v>
      </c>
      <c r="C188" s="722" t="s">
        <v>1</v>
      </c>
      <c r="D188" s="547"/>
      <c r="E188" s="547"/>
      <c r="F188" s="547"/>
      <c r="G188" s="547"/>
      <c r="H188" s="546" t="e">
        <f>IF($C$23="X",IF(AND(ISBLANK(D188),ISBLANK(E188),ISBLANK(F188),ISBLANK(G188),ISBLANK(D191),ISBLANK(E191),ISBLANK(F191),ISBLANK(G191)),"veuillez indiquer une valeur","OK"),IF(AND(ISBLANK(D188),ISBLANK(E188),ISBLANK(F188),ISBLANK(G188),ISBLANK(D191),ISBLANK(E191),ISBLANK(F191),ISBLANK(G191)),"OK","Attention cette activité ne vous concerne pas "))</f>
        <v>#N/A</v>
      </c>
      <c r="I188" s="253"/>
    </row>
    <row r="189" spans="1:11" ht="32.25" customHeight="1" x14ac:dyDescent="0.25">
      <c r="B189" s="448" t="s">
        <v>517</v>
      </c>
      <c r="C189" s="605" t="s">
        <v>37</v>
      </c>
      <c r="D189" s="493"/>
      <c r="E189" s="493"/>
      <c r="F189" s="493"/>
      <c r="G189" s="493"/>
      <c r="H189" s="335" t="e">
        <f>IF($C$23="X",IF(OR(COUNTA(D186:G186,D189:G189)=0,COUNTIF(D244:G244,"Q")&gt;0),"veuillez indiquer une valeur en stock protégé et/ou non protégé","OK"),IF(COUNTA(D186:G186,D189:G189)=0,"OK","Attention cette activité ne vous concerne pas "))</f>
        <v>#N/A</v>
      </c>
      <c r="I189" s="253"/>
    </row>
    <row r="190" spans="1:11" ht="32.25" customHeight="1" x14ac:dyDescent="0.25">
      <c r="B190" s="353" t="s">
        <v>443</v>
      </c>
      <c r="C190" s="585" t="s">
        <v>51</v>
      </c>
      <c r="D190" s="544"/>
      <c r="E190" s="544"/>
      <c r="F190" s="544"/>
      <c r="G190" s="545"/>
      <c r="H190" s="546" t="e">
        <f>IF($C$23="X",IF(OR(COUNTA(D187:G187,D190:G190)=0,COUNTIF(D244:G244,"TH")&gt;0),"veuillez indiquer une valeur","OK"),IF(COUNTA(D187:G187,D190:G190)=0,"OK","Attention cette activité ne vous concerne pas "))</f>
        <v>#N/A</v>
      </c>
      <c r="I190" s="253"/>
    </row>
    <row r="191" spans="1:11" s="254" customFormat="1" ht="31.5" customHeight="1" x14ac:dyDescent="0.25">
      <c r="A191" s="340"/>
      <c r="B191" s="592" t="s">
        <v>556</v>
      </c>
      <c r="C191" s="722" t="s">
        <v>1</v>
      </c>
      <c r="D191" s="547"/>
      <c r="E191" s="547"/>
      <c r="F191" s="547"/>
      <c r="G191" s="547"/>
      <c r="H191" s="546" t="e">
        <f>IF($C$23="X",IF(AND(ISBLANK(D188),ISBLANK(E188),ISBLANK(F188),ISBLANK(G188),ISBLANK(D191),ISBLANK(E191),ISBLANK(F191),ISBLANK(G191)),"veuillez indiquer une valeur","OK"),IF(AND(ISBLANK(D188),ISBLANK(E188),ISBLANK(F188),ISBLANK(G188),ISBLANK(D191),ISBLANK(E191),ISBLANK(F191),ISBLANK(G191)),"OK","Attention cette activité ne vous concerne pas "))</f>
        <v>#N/A</v>
      </c>
    </row>
    <row r="192" spans="1:11" ht="32.25" customHeight="1" x14ac:dyDescent="0.25">
      <c r="B192" s="355" t="s">
        <v>106</v>
      </c>
      <c r="C192" s="311" t="s">
        <v>51</v>
      </c>
      <c r="D192" s="725"/>
      <c r="E192" s="504"/>
      <c r="F192" s="504"/>
      <c r="G192" s="504"/>
      <c r="H192" s="335" t="e">
        <f>IF($C$23="X",IF(AND(ISBLANK(#REF!),ISBLANK(E192),ISBLANK(F192),ISBLANK(G192)),"veuillez indiquer une valeur","OK"),IF(AND(ISBLANK(#REF!),ISBLANK(E192),ISBLANK(F192),ISBLANK(G192)),"OK","Attention cette activité ne vous concerne pas "))</f>
        <v>#N/A</v>
      </c>
      <c r="I192" s="253"/>
    </row>
    <row r="194" spans="1:8" s="254" customFormat="1" ht="31.5" hidden="1" customHeight="1" x14ac:dyDescent="0.25">
      <c r="A194" s="340"/>
      <c r="B194" s="409"/>
      <c r="C194" s="410"/>
      <c r="D194" s="411"/>
      <c r="E194" s="340"/>
      <c r="F194" s="340"/>
      <c r="G194" s="340"/>
      <c r="H194" s="340"/>
    </row>
    <row r="195" spans="1:8" s="254" customFormat="1" ht="31.5" hidden="1" customHeight="1" x14ac:dyDescent="0.25">
      <c r="A195" s="340"/>
      <c r="B195" s="409"/>
      <c r="C195" s="410"/>
      <c r="D195" s="411"/>
      <c r="E195" s="340"/>
      <c r="F195" s="340"/>
      <c r="G195" s="340"/>
      <c r="H195" s="340"/>
    </row>
    <row r="196" spans="1:8" s="254" customFormat="1" ht="31.5" hidden="1" customHeight="1" x14ac:dyDescent="0.25">
      <c r="A196" s="340"/>
      <c r="B196" s="409"/>
      <c r="C196" s="410"/>
      <c r="D196" s="411"/>
      <c r="E196" s="340"/>
      <c r="F196" s="340"/>
      <c r="G196" s="340"/>
      <c r="H196" s="340"/>
    </row>
    <row r="197" spans="1:8" s="254" customFormat="1" ht="31.5" hidden="1" customHeight="1" x14ac:dyDescent="0.25">
      <c r="A197" s="340"/>
      <c r="B197" s="409"/>
      <c r="C197" s="410"/>
      <c r="D197" s="411"/>
      <c r="E197" s="340"/>
      <c r="F197" s="340"/>
      <c r="G197" s="340"/>
      <c r="H197" s="340"/>
    </row>
    <row r="198" spans="1:8" s="254" customFormat="1" ht="31.5" hidden="1" customHeight="1" x14ac:dyDescent="0.25">
      <c r="A198" s="340"/>
      <c r="B198" s="409"/>
      <c r="C198" s="410"/>
      <c r="D198" s="411"/>
      <c r="E198" s="340"/>
      <c r="F198" s="340"/>
      <c r="G198" s="340"/>
      <c r="H198" s="340"/>
    </row>
    <row r="199" spans="1:8" s="254" customFormat="1" ht="31.5" hidden="1" customHeight="1" x14ac:dyDescent="0.25">
      <c r="A199" s="340"/>
      <c r="B199" s="409"/>
      <c r="C199" s="410"/>
      <c r="D199" s="411"/>
      <c r="E199" s="340"/>
      <c r="F199" s="340"/>
      <c r="G199" s="340"/>
      <c r="H199" s="340"/>
    </row>
    <row r="200" spans="1:8" s="254" customFormat="1" ht="31.5" hidden="1" customHeight="1" x14ac:dyDescent="0.25">
      <c r="A200" s="340"/>
      <c r="B200" s="409"/>
      <c r="C200" s="410"/>
      <c r="D200" s="411"/>
      <c r="E200" s="340"/>
      <c r="F200" s="340"/>
      <c r="G200" s="340"/>
      <c r="H200" s="340"/>
    </row>
    <row r="201" spans="1:8" s="254" customFormat="1" ht="31.5" hidden="1" customHeight="1" x14ac:dyDescent="0.25">
      <c r="A201" s="340"/>
      <c r="B201" s="409"/>
      <c r="C201" s="410"/>
      <c r="D201" s="411"/>
      <c r="E201" s="340"/>
      <c r="F201" s="340"/>
      <c r="G201" s="340"/>
      <c r="H201" s="340"/>
    </row>
    <row r="202" spans="1:8" s="254" customFormat="1" ht="31.5" hidden="1" customHeight="1" x14ac:dyDescent="0.25">
      <c r="A202" s="340"/>
      <c r="B202" s="409"/>
      <c r="C202" s="410"/>
      <c r="D202" s="411"/>
      <c r="E202" s="340"/>
      <c r="F202" s="340"/>
      <c r="G202" s="340"/>
      <c r="H202" s="340"/>
    </row>
    <row r="203" spans="1:8" s="254" customFormat="1" ht="31.5" hidden="1" customHeight="1" x14ac:dyDescent="0.25">
      <c r="A203" s="340"/>
      <c r="B203" s="409"/>
      <c r="C203" s="410"/>
      <c r="D203" s="411"/>
      <c r="E203" s="340"/>
      <c r="F203" s="340"/>
      <c r="G203" s="340"/>
      <c r="H203" s="340"/>
    </row>
    <row r="204" spans="1:8" s="254" customFormat="1" ht="31.5" hidden="1" customHeight="1" x14ac:dyDescent="0.25">
      <c r="A204" s="340"/>
      <c r="B204" s="409"/>
      <c r="C204" s="410"/>
      <c r="D204" s="411"/>
      <c r="E204" s="340"/>
      <c r="F204" s="340"/>
      <c r="G204" s="340"/>
      <c r="H204" s="340"/>
    </row>
    <row r="205" spans="1:8" s="254" customFormat="1" ht="31.5" hidden="1" customHeight="1" x14ac:dyDescent="0.25">
      <c r="A205" s="340"/>
      <c r="B205" s="409"/>
      <c r="C205" s="593"/>
      <c r="D205" s="594"/>
      <c r="E205" s="594"/>
      <c r="F205" s="411"/>
      <c r="G205" s="411"/>
      <c r="H205" s="340"/>
    </row>
    <row r="206" spans="1:8" s="254" customFormat="1" ht="31.5" hidden="1" customHeight="1" x14ac:dyDescent="0.25">
      <c r="A206" s="340"/>
      <c r="B206" s="409"/>
      <c r="C206" s="593"/>
      <c r="D206" s="594"/>
      <c r="E206" s="594"/>
      <c r="F206" s="411"/>
      <c r="G206" s="411"/>
      <c r="H206" s="340"/>
    </row>
    <row r="207" spans="1:8" s="254" customFormat="1" ht="31.5" hidden="1" customHeight="1" x14ac:dyDescent="0.25">
      <c r="A207" s="340"/>
      <c r="B207" s="409"/>
      <c r="C207" s="593"/>
      <c r="D207" s="594"/>
      <c r="E207" s="595"/>
      <c r="F207" s="340"/>
      <c r="G207" s="340"/>
      <c r="H207" s="340"/>
    </row>
    <row r="208" spans="1:8" ht="16.5" hidden="1" customHeight="1" x14ac:dyDescent="0.25">
      <c r="C208" s="582"/>
      <c r="D208" s="582"/>
      <c r="E208" s="582"/>
    </row>
    <row r="209" spans="2:13" ht="16.5" hidden="1" customHeight="1" x14ac:dyDescent="0.25">
      <c r="B209" s="238" t="s">
        <v>74</v>
      </c>
      <c r="C209" s="582"/>
      <c r="D209" s="582" t="s">
        <v>548</v>
      </c>
      <c r="E209" s="574" t="s">
        <v>566</v>
      </c>
    </row>
    <row r="210" spans="2:13" ht="16.5" hidden="1" customHeight="1" x14ac:dyDescent="0.25">
      <c r="B210" s="240" t="s">
        <v>75</v>
      </c>
      <c r="C210" s="582"/>
      <c r="D210" s="582" t="s">
        <v>549</v>
      </c>
      <c r="E210" s="574" t="s">
        <v>575</v>
      </c>
    </row>
    <row r="211" spans="2:13" ht="16.5" hidden="1" customHeight="1" x14ac:dyDescent="0.25">
      <c r="B211" s="240" t="s">
        <v>299</v>
      </c>
      <c r="C211" s="582"/>
      <c r="D211" s="582" t="s">
        <v>550</v>
      </c>
      <c r="E211" s="574" t="s">
        <v>567</v>
      </c>
    </row>
    <row r="212" spans="2:13" hidden="1" x14ac:dyDescent="0.25">
      <c r="B212" s="240" t="s">
        <v>140</v>
      </c>
      <c r="C212" s="582"/>
      <c r="D212" s="582"/>
      <c r="E212" s="574" t="s">
        <v>568</v>
      </c>
    </row>
    <row r="213" spans="2:13" hidden="1" x14ac:dyDescent="0.25">
      <c r="B213" s="240" t="s">
        <v>77</v>
      </c>
      <c r="C213" s="582"/>
      <c r="D213" s="582"/>
      <c r="E213" s="582"/>
    </row>
    <row r="214" spans="2:13" hidden="1" x14ac:dyDescent="0.25">
      <c r="B214" s="240" t="s">
        <v>84</v>
      </c>
      <c r="C214" s="582"/>
      <c r="D214" s="582"/>
      <c r="E214" s="582"/>
    </row>
    <row r="215" spans="2:13" hidden="1" x14ac:dyDescent="0.25">
      <c r="B215" s="240" t="s">
        <v>78</v>
      </c>
      <c r="C215" s="582"/>
      <c r="D215" s="596"/>
      <c r="E215" s="582"/>
    </row>
    <row r="216" spans="2:13" hidden="1" x14ac:dyDescent="0.25">
      <c r="B216" s="240" t="s">
        <v>79</v>
      </c>
      <c r="C216" s="582"/>
      <c r="D216" s="596"/>
      <c r="E216" s="582"/>
    </row>
    <row r="217" spans="2:13" hidden="1" x14ac:dyDescent="0.25">
      <c r="B217" s="240" t="s">
        <v>80</v>
      </c>
      <c r="C217" s="582"/>
      <c r="D217" s="596"/>
      <c r="E217" s="582"/>
    </row>
    <row r="218" spans="2:13" hidden="1" x14ac:dyDescent="0.25">
      <c r="B218" s="242" t="s">
        <v>85</v>
      </c>
      <c r="C218" s="536"/>
      <c r="D218" s="536"/>
    </row>
    <row r="219" spans="2:13" ht="25.5" hidden="1" customHeight="1" x14ac:dyDescent="0.25"/>
    <row r="220" spans="2:13" ht="60" hidden="1" x14ac:dyDescent="0.25">
      <c r="C220" s="371" t="s">
        <v>112</v>
      </c>
      <c r="D220" s="363" t="s">
        <v>74</v>
      </c>
      <c r="E220" s="363" t="s">
        <v>75</v>
      </c>
      <c r="F220" s="363" t="s">
        <v>299</v>
      </c>
      <c r="G220" s="363" t="s">
        <v>140</v>
      </c>
      <c r="H220" s="363" t="s">
        <v>77</v>
      </c>
      <c r="I220" s="256" t="s">
        <v>84</v>
      </c>
      <c r="J220" s="256" t="s">
        <v>78</v>
      </c>
      <c r="K220" s="256" t="s">
        <v>79</v>
      </c>
      <c r="L220" s="256" t="s">
        <v>80</v>
      </c>
      <c r="M220" s="256" t="s">
        <v>85</v>
      </c>
    </row>
    <row r="221" spans="2:13" hidden="1" x14ac:dyDescent="0.25">
      <c r="B221" s="302" t="s">
        <v>109</v>
      </c>
      <c r="C221" s="305" t="e">
        <f>HLOOKUP($C$10,$D$220:$K$224,2,FALSE)</f>
        <v>#N/A</v>
      </c>
      <c r="D221" s="257"/>
      <c r="E221" s="257" t="s">
        <v>39</v>
      </c>
      <c r="F221" s="257"/>
      <c r="G221" s="257" t="s">
        <v>39</v>
      </c>
      <c r="H221" s="257" t="s">
        <v>39</v>
      </c>
      <c r="I221" s="257"/>
      <c r="J221" s="257" t="s">
        <v>39</v>
      </c>
      <c r="K221" s="257" t="s">
        <v>39</v>
      </c>
      <c r="L221" s="257" t="s">
        <v>39</v>
      </c>
      <c r="M221" s="257"/>
    </row>
    <row r="222" spans="2:13" hidden="1" x14ac:dyDescent="0.25">
      <c r="B222" s="302" t="s">
        <v>110</v>
      </c>
      <c r="C222" s="305" t="e">
        <f>HLOOKUP($C$10,$D$220:$K$224,2,FALSE)</f>
        <v>#N/A</v>
      </c>
      <c r="D222" s="258" t="s">
        <v>39</v>
      </c>
      <c r="E222" s="258" t="s">
        <v>39</v>
      </c>
      <c r="F222" s="258" t="s">
        <v>39</v>
      </c>
      <c r="G222" s="258" t="s">
        <v>39</v>
      </c>
      <c r="H222" s="258" t="s">
        <v>39</v>
      </c>
      <c r="I222" s="258" t="s">
        <v>39</v>
      </c>
      <c r="J222" s="258" t="s">
        <v>39</v>
      </c>
      <c r="K222" s="258" t="s">
        <v>39</v>
      </c>
      <c r="L222" s="258" t="s">
        <v>39</v>
      </c>
      <c r="M222" s="258"/>
    </row>
    <row r="223" spans="2:13" hidden="1" x14ac:dyDescent="0.25">
      <c r="B223" s="302" t="s">
        <v>111</v>
      </c>
      <c r="C223" s="305" t="e">
        <f>HLOOKUP($C$10,$D$220:$K$224,2,FALSE)</f>
        <v>#N/A</v>
      </c>
      <c r="D223" s="258" t="s">
        <v>39</v>
      </c>
      <c r="E223" s="258" t="s">
        <v>39</v>
      </c>
      <c r="F223" s="258" t="s">
        <v>39</v>
      </c>
      <c r="G223" s="258" t="s">
        <v>39</v>
      </c>
      <c r="H223" s="258" t="s">
        <v>39</v>
      </c>
      <c r="I223" s="258" t="s">
        <v>39</v>
      </c>
      <c r="J223" s="258" t="s">
        <v>39</v>
      </c>
      <c r="K223" s="258" t="s">
        <v>39</v>
      </c>
      <c r="L223" s="258" t="s">
        <v>39</v>
      </c>
      <c r="M223" s="258" t="s">
        <v>39</v>
      </c>
    </row>
    <row r="224" spans="2:13" hidden="1" x14ac:dyDescent="0.25">
      <c r="B224" s="302" t="s">
        <v>398</v>
      </c>
      <c r="C224" s="305" t="e">
        <f>HLOOKUP($C$10,$D$220:$K$224,2,FALSE)</f>
        <v>#N/A</v>
      </c>
      <c r="D224" s="258" t="s">
        <v>39</v>
      </c>
      <c r="E224" s="258" t="s">
        <v>39</v>
      </c>
      <c r="F224" s="258" t="s">
        <v>39</v>
      </c>
      <c r="G224" s="258"/>
      <c r="H224" s="258" t="s">
        <v>39</v>
      </c>
      <c r="I224" s="258"/>
      <c r="J224" s="258" t="s">
        <v>39</v>
      </c>
      <c r="K224" s="258" t="s">
        <v>39</v>
      </c>
      <c r="L224" s="258" t="s">
        <v>39</v>
      </c>
      <c r="M224" s="258"/>
    </row>
    <row r="225" spans="2:13" hidden="1" x14ac:dyDescent="0.25">
      <c r="B225" s="302" t="s">
        <v>397</v>
      </c>
      <c r="C225" s="305" t="e">
        <f>HLOOKUP($C$10,$D$220:$K$224,2,FALSE)</f>
        <v>#N/A</v>
      </c>
      <c r="D225" s="258" t="s">
        <v>39</v>
      </c>
      <c r="E225" s="258" t="s">
        <v>39</v>
      </c>
      <c r="F225" s="258" t="s">
        <v>39</v>
      </c>
      <c r="G225" s="258"/>
      <c r="H225" s="258" t="s">
        <v>39</v>
      </c>
      <c r="I225" s="258"/>
      <c r="J225" s="258" t="s">
        <v>39</v>
      </c>
      <c r="K225" s="258" t="s">
        <v>39</v>
      </c>
      <c r="L225" s="258" t="s">
        <v>39</v>
      </c>
      <c r="M225" s="258"/>
    </row>
    <row r="226" spans="2:13" hidden="1" x14ac:dyDescent="0.25"/>
    <row r="227" spans="2:13" hidden="1" x14ac:dyDescent="0.25">
      <c r="B227" s="259" t="s">
        <v>185</v>
      </c>
    </row>
    <row r="228" spans="2:13" hidden="1" x14ac:dyDescent="0.25">
      <c r="B228" s="259" t="s">
        <v>186</v>
      </c>
    </row>
    <row r="229" spans="2:13" hidden="1" x14ac:dyDescent="0.25">
      <c r="D229" s="139" t="s">
        <v>39</v>
      </c>
    </row>
    <row r="230" spans="2:13" hidden="1" x14ac:dyDescent="0.25">
      <c r="B230" s="139" t="s">
        <v>467</v>
      </c>
      <c r="C230" s="139" t="s">
        <v>468</v>
      </c>
      <c r="D230" s="582" t="s">
        <v>471</v>
      </c>
      <c r="E230" s="139" t="s">
        <v>65</v>
      </c>
    </row>
    <row r="231" spans="2:13" hidden="1" x14ac:dyDescent="0.25">
      <c r="B231" s="139" t="s">
        <v>470</v>
      </c>
      <c r="C231" s="139" t="s">
        <v>469</v>
      </c>
      <c r="D231" s="582" t="s">
        <v>64</v>
      </c>
      <c r="E231" s="139" t="s">
        <v>64</v>
      </c>
    </row>
    <row r="232" spans="2:13" hidden="1" x14ac:dyDescent="0.25">
      <c r="B232" s="139" t="s">
        <v>64</v>
      </c>
      <c r="C232" s="139" t="s">
        <v>64</v>
      </c>
      <c r="D232" s="582"/>
    </row>
    <row r="233" spans="2:13" hidden="1" x14ac:dyDescent="0.25">
      <c r="D233" s="582"/>
    </row>
    <row r="234" spans="2:13" hidden="1" x14ac:dyDescent="0.25">
      <c r="B234" s="146" t="s">
        <v>104</v>
      </c>
      <c r="C234" s="139" t="s">
        <v>450</v>
      </c>
      <c r="D234" s="582" t="s">
        <v>524</v>
      </c>
    </row>
    <row r="235" spans="2:13" hidden="1" x14ac:dyDescent="0.25">
      <c r="B235" s="146" t="s">
        <v>97</v>
      </c>
      <c r="C235" s="139" t="s">
        <v>451</v>
      </c>
      <c r="D235" s="582" t="s">
        <v>532</v>
      </c>
    </row>
    <row r="236" spans="2:13" hidden="1" x14ac:dyDescent="0.25">
      <c r="B236" s="146" t="s">
        <v>98</v>
      </c>
      <c r="C236" s="139" t="s">
        <v>449</v>
      </c>
      <c r="D236" s="582" t="s">
        <v>533</v>
      </c>
    </row>
    <row r="237" spans="2:13" hidden="1" x14ac:dyDescent="0.25">
      <c r="B237" s="146" t="s">
        <v>99</v>
      </c>
      <c r="C237" s="139" t="s">
        <v>452</v>
      </c>
      <c r="D237" s="582"/>
    </row>
    <row r="238" spans="2:13" hidden="1" x14ac:dyDescent="0.25">
      <c r="D238" s="536"/>
    </row>
    <row r="239" spans="2:13" hidden="1" x14ac:dyDescent="0.25"/>
    <row r="240" spans="2:13" hidden="1" x14ac:dyDescent="0.25"/>
    <row r="241" spans="2:7" hidden="1" x14ac:dyDescent="0.25">
      <c r="B241" s="139" t="s">
        <v>197</v>
      </c>
    </row>
    <row r="242" spans="2:7" hidden="1" x14ac:dyDescent="0.25">
      <c r="B242" s="139" t="s">
        <v>198</v>
      </c>
      <c r="D242" s="139" t="s">
        <v>561</v>
      </c>
    </row>
    <row r="243" spans="2:7" hidden="1" x14ac:dyDescent="0.25">
      <c r="B243" s="139" t="s">
        <v>199</v>
      </c>
      <c r="D243" s="139" t="str">
        <f>IF(AND(D186&gt;0,ISBLANK(D187)),"TH",IF(AND(D187&gt;0,ISBLANK(D186)),"Q","OK"))</f>
        <v>OK</v>
      </c>
      <c r="E243" s="139" t="str">
        <f>IF(AND(E186&gt;0,ISBLANK(E187)),"TH",IF(AND(E187&gt;0,ISBLANK(E186)),"Q","OK"))</f>
        <v>OK</v>
      </c>
      <c r="F243" s="139" t="str">
        <f>IF(AND(F186&gt;0,ISBLANK(F187)),"TH",IF(AND(F187&gt;0,ISBLANK(F186)),"Q","OK"))</f>
        <v>OK</v>
      </c>
      <c r="G243" s="139" t="str">
        <f>IF(AND(G186&gt;0,ISBLANK(G187)),"TH",IF(AND(G187&gt;0,ISBLANK(G186)),"Q","OK"))</f>
        <v>OK</v>
      </c>
    </row>
    <row r="244" spans="2:7" hidden="1" x14ac:dyDescent="0.25">
      <c r="B244" s="139" t="s">
        <v>200</v>
      </c>
      <c r="D244" s="139" t="str">
        <f>IF(AND(D189&gt;0,ISBLANK(D190)),"TH",IF(AND(D190&gt;0,ISBLANK(D189)),"Q","OK"))</f>
        <v>OK</v>
      </c>
      <c r="E244" s="139" t="str">
        <f>IF(AND(E189&gt;0,ISBLANK(E190)),"TH",IF(AND(E190&gt;0,ISBLANK(E189)),"Q","OK"))</f>
        <v>OK</v>
      </c>
      <c r="F244" s="139" t="str">
        <f>IF(AND(F189&gt;0,ISBLANK(F190)),"TH",IF(AND(F190&gt;0,ISBLANK(F189)),"Q","OK"))</f>
        <v>OK</v>
      </c>
      <c r="G244" s="139" t="str">
        <f>IF(AND(G189&gt;0,ISBLANK(G190)),"TH",IF(AND(G190&gt;0,ISBLANK(G189)),"Q","OK"))</f>
        <v>OK</v>
      </c>
    </row>
    <row r="245" spans="2:7" hidden="1" x14ac:dyDescent="0.25">
      <c r="B245" s="139" t="s">
        <v>201</v>
      </c>
    </row>
    <row r="246" spans="2:7" hidden="1" x14ac:dyDescent="0.25">
      <c r="B246" s="139" t="s">
        <v>202</v>
      </c>
    </row>
    <row r="247" spans="2:7" hidden="1" x14ac:dyDescent="0.25">
      <c r="B247" s="139" t="s">
        <v>203</v>
      </c>
    </row>
    <row r="248" spans="2:7" hidden="1" x14ac:dyDescent="0.25">
      <c r="B248" s="139" t="s">
        <v>204</v>
      </c>
    </row>
    <row r="249" spans="2:7" hidden="1" x14ac:dyDescent="0.25">
      <c r="B249" s="139" t="s">
        <v>205</v>
      </c>
    </row>
    <row r="250" spans="2:7" hidden="1" x14ac:dyDescent="0.25">
      <c r="B250" s="139" t="s">
        <v>206</v>
      </c>
    </row>
    <row r="251" spans="2:7" hidden="1" x14ac:dyDescent="0.25">
      <c r="B251" s="139" t="s">
        <v>207</v>
      </c>
    </row>
    <row r="252" spans="2:7" hidden="1" x14ac:dyDescent="0.25">
      <c r="B252" s="139" t="s">
        <v>208</v>
      </c>
    </row>
    <row r="253" spans="2:7" hidden="1" x14ac:dyDescent="0.25">
      <c r="B253" s="139" t="s">
        <v>209</v>
      </c>
    </row>
    <row r="254" spans="2:7" hidden="1" x14ac:dyDescent="0.25">
      <c r="B254" s="139" t="s">
        <v>210</v>
      </c>
    </row>
    <row r="255" spans="2:7" hidden="1" x14ac:dyDescent="0.25">
      <c r="B255" s="139" t="s">
        <v>211</v>
      </c>
    </row>
    <row r="256" spans="2:7" hidden="1" x14ac:dyDescent="0.25">
      <c r="B256" s="139" t="s">
        <v>212</v>
      </c>
    </row>
    <row r="257" spans="2:2" hidden="1" x14ac:dyDescent="0.25">
      <c r="B257" s="139" t="s">
        <v>213</v>
      </c>
    </row>
    <row r="258" spans="2:2" hidden="1" x14ac:dyDescent="0.25">
      <c r="B258" s="139" t="s">
        <v>214</v>
      </c>
    </row>
    <row r="259" spans="2:2" hidden="1" x14ac:dyDescent="0.25">
      <c r="B259" s="139" t="s">
        <v>215</v>
      </c>
    </row>
    <row r="260" spans="2:2" hidden="1" x14ac:dyDescent="0.25">
      <c r="B260" s="139" t="s">
        <v>216</v>
      </c>
    </row>
    <row r="261" spans="2:2" hidden="1" x14ac:dyDescent="0.25">
      <c r="B261" s="139" t="s">
        <v>217</v>
      </c>
    </row>
    <row r="262" spans="2:2" hidden="1" x14ac:dyDescent="0.25">
      <c r="B262" s="139" t="s">
        <v>218</v>
      </c>
    </row>
    <row r="263" spans="2:2" hidden="1" x14ac:dyDescent="0.25">
      <c r="B263" s="139" t="s">
        <v>219</v>
      </c>
    </row>
    <row r="264" spans="2:2" hidden="1" x14ac:dyDescent="0.25">
      <c r="B264" s="139" t="s">
        <v>220</v>
      </c>
    </row>
    <row r="265" spans="2:2" hidden="1" x14ac:dyDescent="0.25">
      <c r="B265" s="139" t="s">
        <v>221</v>
      </c>
    </row>
    <row r="266" spans="2:2" hidden="1" x14ac:dyDescent="0.25">
      <c r="B266" s="139" t="s">
        <v>222</v>
      </c>
    </row>
    <row r="267" spans="2:2" hidden="1" x14ac:dyDescent="0.25">
      <c r="B267" s="139" t="s">
        <v>223</v>
      </c>
    </row>
    <row r="268" spans="2:2" hidden="1" x14ac:dyDescent="0.25">
      <c r="B268" s="139" t="s">
        <v>224</v>
      </c>
    </row>
    <row r="269" spans="2:2" hidden="1" x14ac:dyDescent="0.25">
      <c r="B269" s="139" t="s">
        <v>225</v>
      </c>
    </row>
    <row r="270" spans="2:2" hidden="1" x14ac:dyDescent="0.25">
      <c r="B270" s="139" t="s">
        <v>226</v>
      </c>
    </row>
    <row r="271" spans="2:2" hidden="1" x14ac:dyDescent="0.25">
      <c r="B271" s="139" t="s">
        <v>227</v>
      </c>
    </row>
    <row r="272" spans="2:2" hidden="1" x14ac:dyDescent="0.25">
      <c r="B272" s="139" t="s">
        <v>228</v>
      </c>
    </row>
    <row r="273" spans="2:2" hidden="1" x14ac:dyDescent="0.25">
      <c r="B273" s="139" t="s">
        <v>229</v>
      </c>
    </row>
    <row r="274" spans="2:2" hidden="1" x14ac:dyDescent="0.25">
      <c r="B274" s="139" t="s">
        <v>230</v>
      </c>
    </row>
    <row r="275" spans="2:2" hidden="1" x14ac:dyDescent="0.25">
      <c r="B275" s="139" t="s">
        <v>231</v>
      </c>
    </row>
    <row r="276" spans="2:2" hidden="1" x14ac:dyDescent="0.25">
      <c r="B276" s="139" t="s">
        <v>232</v>
      </c>
    </row>
    <row r="277" spans="2:2" hidden="1" x14ac:dyDescent="0.25">
      <c r="B277" s="139" t="s">
        <v>233</v>
      </c>
    </row>
    <row r="278" spans="2:2" hidden="1" x14ac:dyDescent="0.25">
      <c r="B278" s="139" t="s">
        <v>234</v>
      </c>
    </row>
    <row r="279" spans="2:2" hidden="1" x14ac:dyDescent="0.25">
      <c r="B279" s="139" t="s">
        <v>235</v>
      </c>
    </row>
    <row r="280" spans="2:2" hidden="1" x14ac:dyDescent="0.25">
      <c r="B280" s="139" t="s">
        <v>236</v>
      </c>
    </row>
    <row r="281" spans="2:2" hidden="1" x14ac:dyDescent="0.25">
      <c r="B281" s="139" t="s">
        <v>237</v>
      </c>
    </row>
    <row r="282" spans="2:2" hidden="1" x14ac:dyDescent="0.25">
      <c r="B282" s="139" t="s">
        <v>238</v>
      </c>
    </row>
    <row r="283" spans="2:2" hidden="1" x14ac:dyDescent="0.25">
      <c r="B283" s="139" t="s">
        <v>239</v>
      </c>
    </row>
    <row r="284" spans="2:2" hidden="1" x14ac:dyDescent="0.25">
      <c r="B284" s="139" t="s">
        <v>240</v>
      </c>
    </row>
    <row r="285" spans="2:2" hidden="1" x14ac:dyDescent="0.25">
      <c r="B285" s="139" t="s">
        <v>241</v>
      </c>
    </row>
    <row r="286" spans="2:2" hidden="1" x14ac:dyDescent="0.25">
      <c r="B286" s="139" t="s">
        <v>242</v>
      </c>
    </row>
    <row r="287" spans="2:2" hidden="1" x14ac:dyDescent="0.25">
      <c r="B287" s="139" t="s">
        <v>243</v>
      </c>
    </row>
    <row r="288" spans="2:2" hidden="1" x14ac:dyDescent="0.25">
      <c r="B288" s="139" t="s">
        <v>244</v>
      </c>
    </row>
    <row r="289" spans="2:2" hidden="1" x14ac:dyDescent="0.25">
      <c r="B289" s="139" t="s">
        <v>245</v>
      </c>
    </row>
    <row r="290" spans="2:2" hidden="1" x14ac:dyDescent="0.25">
      <c r="B290" s="139" t="s">
        <v>246</v>
      </c>
    </row>
    <row r="291" spans="2:2" hidden="1" x14ac:dyDescent="0.25">
      <c r="B291" s="139" t="s">
        <v>247</v>
      </c>
    </row>
    <row r="292" spans="2:2" hidden="1" x14ac:dyDescent="0.25">
      <c r="B292" s="139" t="s">
        <v>248</v>
      </c>
    </row>
    <row r="293" spans="2:2" hidden="1" x14ac:dyDescent="0.25">
      <c r="B293" s="139" t="s">
        <v>249</v>
      </c>
    </row>
    <row r="294" spans="2:2" hidden="1" x14ac:dyDescent="0.25">
      <c r="B294" s="139" t="s">
        <v>250</v>
      </c>
    </row>
    <row r="295" spans="2:2" hidden="1" x14ac:dyDescent="0.25">
      <c r="B295" s="139" t="s">
        <v>251</v>
      </c>
    </row>
    <row r="296" spans="2:2" hidden="1" x14ac:dyDescent="0.25">
      <c r="B296" s="139" t="s">
        <v>252</v>
      </c>
    </row>
    <row r="297" spans="2:2" hidden="1" x14ac:dyDescent="0.25">
      <c r="B297" s="139" t="s">
        <v>253</v>
      </c>
    </row>
    <row r="298" spans="2:2" hidden="1" x14ac:dyDescent="0.25">
      <c r="B298" s="139" t="s">
        <v>254</v>
      </c>
    </row>
    <row r="299" spans="2:2" hidden="1" x14ac:dyDescent="0.25">
      <c r="B299" s="139" t="s">
        <v>255</v>
      </c>
    </row>
    <row r="300" spans="2:2" hidden="1" x14ac:dyDescent="0.25">
      <c r="B300" s="139" t="s">
        <v>256</v>
      </c>
    </row>
    <row r="301" spans="2:2" hidden="1" x14ac:dyDescent="0.25">
      <c r="B301" s="139" t="s">
        <v>257</v>
      </c>
    </row>
    <row r="302" spans="2:2" hidden="1" x14ac:dyDescent="0.25">
      <c r="B302" s="139" t="s">
        <v>258</v>
      </c>
    </row>
    <row r="303" spans="2:2" hidden="1" x14ac:dyDescent="0.25">
      <c r="B303" s="139" t="s">
        <v>259</v>
      </c>
    </row>
    <row r="304" spans="2:2" hidden="1" x14ac:dyDescent="0.25">
      <c r="B304" s="139" t="s">
        <v>260</v>
      </c>
    </row>
    <row r="305" spans="2:2" hidden="1" x14ac:dyDescent="0.25">
      <c r="B305" s="139" t="s">
        <v>261</v>
      </c>
    </row>
    <row r="306" spans="2:2" hidden="1" x14ac:dyDescent="0.25">
      <c r="B306" s="139" t="s">
        <v>262</v>
      </c>
    </row>
    <row r="307" spans="2:2" hidden="1" x14ac:dyDescent="0.25">
      <c r="B307" s="139" t="s">
        <v>263</v>
      </c>
    </row>
    <row r="308" spans="2:2" hidden="1" x14ac:dyDescent="0.25">
      <c r="B308" s="139" t="s">
        <v>264</v>
      </c>
    </row>
    <row r="309" spans="2:2" hidden="1" x14ac:dyDescent="0.25">
      <c r="B309" s="139" t="s">
        <v>265</v>
      </c>
    </row>
    <row r="310" spans="2:2" hidden="1" x14ac:dyDescent="0.25">
      <c r="B310" s="139" t="s">
        <v>266</v>
      </c>
    </row>
    <row r="311" spans="2:2" hidden="1" x14ac:dyDescent="0.25">
      <c r="B311" s="139" t="s">
        <v>267</v>
      </c>
    </row>
    <row r="312" spans="2:2" hidden="1" x14ac:dyDescent="0.25">
      <c r="B312" s="139" t="s">
        <v>268</v>
      </c>
    </row>
    <row r="313" spans="2:2" hidden="1" x14ac:dyDescent="0.25">
      <c r="B313" s="139" t="s">
        <v>269</v>
      </c>
    </row>
    <row r="314" spans="2:2" hidden="1" x14ac:dyDescent="0.25">
      <c r="B314" s="139" t="s">
        <v>270</v>
      </c>
    </row>
    <row r="315" spans="2:2" hidden="1" x14ac:dyDescent="0.25">
      <c r="B315" s="139" t="s">
        <v>271</v>
      </c>
    </row>
    <row r="316" spans="2:2" hidden="1" x14ac:dyDescent="0.25">
      <c r="B316" s="139" t="s">
        <v>272</v>
      </c>
    </row>
    <row r="317" spans="2:2" hidden="1" x14ac:dyDescent="0.25">
      <c r="B317" s="139" t="s">
        <v>273</v>
      </c>
    </row>
    <row r="318" spans="2:2" hidden="1" x14ac:dyDescent="0.25">
      <c r="B318" s="139" t="s">
        <v>274</v>
      </c>
    </row>
    <row r="319" spans="2:2" hidden="1" x14ac:dyDescent="0.25">
      <c r="B319" s="139" t="s">
        <v>275</v>
      </c>
    </row>
    <row r="320" spans="2:2" hidden="1" x14ac:dyDescent="0.25">
      <c r="B320" s="139" t="s">
        <v>276</v>
      </c>
    </row>
    <row r="321" spans="2:2" hidden="1" x14ac:dyDescent="0.25">
      <c r="B321" s="139" t="s">
        <v>277</v>
      </c>
    </row>
    <row r="322" spans="2:2" hidden="1" x14ac:dyDescent="0.25">
      <c r="B322" s="139" t="s">
        <v>278</v>
      </c>
    </row>
    <row r="323" spans="2:2" hidden="1" x14ac:dyDescent="0.25">
      <c r="B323" s="139" t="s">
        <v>279</v>
      </c>
    </row>
    <row r="324" spans="2:2" hidden="1" x14ac:dyDescent="0.25">
      <c r="B324" s="139" t="s">
        <v>280</v>
      </c>
    </row>
    <row r="325" spans="2:2" hidden="1" x14ac:dyDescent="0.25">
      <c r="B325" s="139" t="s">
        <v>281</v>
      </c>
    </row>
    <row r="326" spans="2:2" hidden="1" x14ac:dyDescent="0.25">
      <c r="B326" s="139" t="s">
        <v>282</v>
      </c>
    </row>
    <row r="327" spans="2:2" hidden="1" x14ac:dyDescent="0.25">
      <c r="B327" s="139" t="s">
        <v>283</v>
      </c>
    </row>
    <row r="328" spans="2:2" hidden="1" x14ac:dyDescent="0.25">
      <c r="B328" s="139" t="s">
        <v>284</v>
      </c>
    </row>
    <row r="329" spans="2:2" hidden="1" x14ac:dyDescent="0.25">
      <c r="B329" s="139" t="s">
        <v>285</v>
      </c>
    </row>
    <row r="330" spans="2:2" hidden="1" x14ac:dyDescent="0.25">
      <c r="B330" s="139" t="s">
        <v>286</v>
      </c>
    </row>
    <row r="331" spans="2:2" hidden="1" x14ac:dyDescent="0.25">
      <c r="B331" s="139" t="s">
        <v>287</v>
      </c>
    </row>
    <row r="332" spans="2:2" hidden="1" x14ac:dyDescent="0.25">
      <c r="B332" s="139" t="s">
        <v>288</v>
      </c>
    </row>
    <row r="333" spans="2:2" hidden="1" x14ac:dyDescent="0.25">
      <c r="B333" s="139" t="s">
        <v>289</v>
      </c>
    </row>
    <row r="334" spans="2:2" hidden="1" x14ac:dyDescent="0.25">
      <c r="B334" s="139" t="s">
        <v>290</v>
      </c>
    </row>
    <row r="335" spans="2:2" hidden="1" x14ac:dyDescent="0.25">
      <c r="B335" s="139" t="s">
        <v>291</v>
      </c>
    </row>
    <row r="336" spans="2:2" hidden="1" x14ac:dyDescent="0.25">
      <c r="B336" s="139" t="s">
        <v>292</v>
      </c>
    </row>
    <row r="337" hidden="1" x14ac:dyDescent="0.25"/>
    <row r="338" hidden="1" x14ac:dyDescent="0.25"/>
    <row r="339" ht="13.5" customHeight="1" x14ac:dyDescent="0.25"/>
  </sheetData>
  <sheetProtection algorithmName="SHA-512" hashValue="ZNA6WAeKID2mi0IPCaZ25Eftrt6r9jjolsbO1FRXLZItlumHQQKL41U+U3yT2ceYcR+mMEwppEQd9he8bEEGlw==" saltValue="65un87sWr2HosU1kpK5M3g==" spinCount="100000" sheet="1" selectLockedCells="1"/>
  <mergeCells count="28">
    <mergeCell ref="H117:H126"/>
    <mergeCell ref="H142:H156"/>
    <mergeCell ref="H128:H140"/>
    <mergeCell ref="C6:D6"/>
    <mergeCell ref="C7:D7"/>
    <mergeCell ref="C8:D8"/>
    <mergeCell ref="H26:H27"/>
    <mergeCell ref="C11:D11"/>
    <mergeCell ref="C17:D17"/>
    <mergeCell ref="B184:G184"/>
    <mergeCell ref="B82:E82"/>
    <mergeCell ref="C10:D10"/>
    <mergeCell ref="C12:D12"/>
    <mergeCell ref="B19:C19"/>
    <mergeCell ref="G84:G93"/>
    <mergeCell ref="G95:G104"/>
    <mergeCell ref="G106:G115"/>
    <mergeCell ref="F11:G11"/>
    <mergeCell ref="C14:D14"/>
    <mergeCell ref="C15:D15"/>
    <mergeCell ref="C16:D16"/>
    <mergeCell ref="I26:I27"/>
    <mergeCell ref="K26:K27"/>
    <mergeCell ref="D26:E26"/>
    <mergeCell ref="B26:B27"/>
    <mergeCell ref="C26:C27"/>
    <mergeCell ref="F26:F27"/>
    <mergeCell ref="G26:G27"/>
  </mergeCells>
  <conditionalFormatting sqref="D63:D67">
    <cfRule type="expression" dxfId="190" priority="353">
      <formula>$C$20="X"</formula>
    </cfRule>
  </conditionalFormatting>
  <conditionalFormatting sqref="D142:F156 D74:D81 C95:E104 C106:E115 D117:F117 D128:F140 D124:F126 C84:E93">
    <cfRule type="expression" dxfId="189" priority="351">
      <formula>$C$21="X"</formula>
    </cfRule>
  </conditionalFormatting>
  <conditionalFormatting sqref="D159:D167 D169:D178">
    <cfRule type="expression" dxfId="188" priority="349">
      <formula>$C$22="X"</formula>
    </cfRule>
  </conditionalFormatting>
  <conditionalFormatting sqref="D181:D183">
    <cfRule type="expression" dxfId="187" priority="648">
      <formula>$C$23="X"</formula>
    </cfRule>
  </conditionalFormatting>
  <conditionalFormatting sqref="B84:E93">
    <cfRule type="expression" dxfId="186" priority="332">
      <formula>$D$76&lt;$B84</formula>
    </cfRule>
  </conditionalFormatting>
  <conditionalFormatting sqref="B95:E104">
    <cfRule type="expression" dxfId="185" priority="330">
      <formula>$D$77&lt;$B95</formula>
    </cfRule>
  </conditionalFormatting>
  <conditionalFormatting sqref="B106:E115">
    <cfRule type="expression" dxfId="184" priority="327">
      <formula>$D$78&lt;$B106</formula>
    </cfRule>
  </conditionalFormatting>
  <conditionalFormatting sqref="B117:B126 D117:F117 D124:F126">
    <cfRule type="expression" dxfId="183" priority="325">
      <formula>$D$79&lt;$B117</formula>
    </cfRule>
  </conditionalFormatting>
  <conditionalFormatting sqref="B128:B140 D128:F140">
    <cfRule type="expression" dxfId="182" priority="323">
      <formula>$D$80&lt;$B128</formula>
    </cfRule>
  </conditionalFormatting>
  <conditionalFormatting sqref="B142:B156 D142:F156">
    <cfRule type="expression" dxfId="181" priority="321">
      <formula>$D$81&lt;$B142</formula>
    </cfRule>
  </conditionalFormatting>
  <conditionalFormatting sqref="F84:F93">
    <cfRule type="expression" dxfId="180" priority="320">
      <formula>#REF!&lt;$A114</formula>
    </cfRule>
  </conditionalFormatting>
  <conditionalFormatting sqref="F95:F104">
    <cfRule type="expression" dxfId="179" priority="319">
      <formula>#REF!&lt;$A125</formula>
    </cfRule>
  </conditionalFormatting>
  <conditionalFormatting sqref="F106:F115 G128:G140 G142:G156">
    <cfRule type="expression" dxfId="178" priority="318">
      <formula>#REF!&lt;$A136</formula>
    </cfRule>
  </conditionalFormatting>
  <conditionalFormatting sqref="G84 G95 G106 H117 H128 H142 G117:G126 F84:F93 F95:F104 F106:F115 G128:G140 G142:G156">
    <cfRule type="expression" dxfId="177" priority="310">
      <formula>F84&lt;&gt;"ok"</formula>
    </cfRule>
    <cfRule type="expression" dxfId="176" priority="313">
      <formula>F84="ok"</formula>
    </cfRule>
  </conditionalFormatting>
  <conditionalFormatting sqref="F95:F104 F106:F115">
    <cfRule type="expression" dxfId="175" priority="307">
      <formula>#REF!&lt;$A125</formula>
    </cfRule>
  </conditionalFormatting>
  <conditionalFormatting sqref="G117:G126">
    <cfRule type="expression" dxfId="174" priority="302">
      <formula>#REF!&lt;$A147</formula>
    </cfRule>
  </conditionalFormatting>
  <conditionalFormatting sqref="G117:G126">
    <cfRule type="expression" dxfId="173" priority="298">
      <formula>#REF!&lt;$A147</formula>
    </cfRule>
  </conditionalFormatting>
  <conditionalFormatting sqref="G144:G146 G133:G140 G153:G154">
    <cfRule type="expression" dxfId="172" priority="355">
      <formula>#REF!&lt;$A166</formula>
    </cfRule>
  </conditionalFormatting>
  <conditionalFormatting sqref="G128:G140 G142 G151:G156">
    <cfRule type="expression" dxfId="171" priority="358">
      <formula>#REF!&lt;$A171</formula>
    </cfRule>
  </conditionalFormatting>
  <conditionalFormatting sqref="G132:G134">
    <cfRule type="expression" dxfId="170" priority="397">
      <formula>#REF!&lt;$A160</formula>
    </cfRule>
  </conditionalFormatting>
  <conditionalFormatting sqref="G139:G140 G136:G137">
    <cfRule type="expression" dxfId="169" priority="436">
      <formula>#REF!&lt;#REF!</formula>
    </cfRule>
  </conditionalFormatting>
  <conditionalFormatting sqref="G84">
    <cfRule type="expression" dxfId="168" priority="294">
      <formula>#REF!&lt;$A114</formula>
    </cfRule>
  </conditionalFormatting>
  <conditionalFormatting sqref="F95:F104">
    <cfRule type="expression" dxfId="167" priority="284">
      <formula>#REF!&lt;$A125</formula>
    </cfRule>
  </conditionalFormatting>
  <conditionalFormatting sqref="F106:F115">
    <cfRule type="expression" dxfId="166" priority="283">
      <formula>#REF!&lt;$A136</formula>
    </cfRule>
  </conditionalFormatting>
  <conditionalFormatting sqref="G117:G126">
    <cfRule type="expression" dxfId="165" priority="282">
      <formula>#REF!&lt;$A147</formula>
    </cfRule>
  </conditionalFormatting>
  <conditionalFormatting sqref="G117:G126">
    <cfRule type="expression" dxfId="164" priority="281">
      <formula>#REF!&lt;$A147</formula>
    </cfRule>
  </conditionalFormatting>
  <conditionalFormatting sqref="G117:G126">
    <cfRule type="expression" dxfId="163" priority="280">
      <formula>#REF!&lt;$A147</formula>
    </cfRule>
  </conditionalFormatting>
  <conditionalFormatting sqref="G117:G126">
    <cfRule type="expression" dxfId="162" priority="279">
      <formula>#REF!&lt;$A147</formula>
    </cfRule>
  </conditionalFormatting>
  <conditionalFormatting sqref="G117:G126">
    <cfRule type="expression" dxfId="161" priority="278">
      <formula>#REF!&lt;$A147</formula>
    </cfRule>
  </conditionalFormatting>
  <conditionalFormatting sqref="G117:G126">
    <cfRule type="expression" dxfId="160" priority="277">
      <formula>#REF!&lt;$A147</formula>
    </cfRule>
  </conditionalFormatting>
  <conditionalFormatting sqref="G117:G126">
    <cfRule type="expression" dxfId="159" priority="276">
      <formula>#REF!&lt;$A147</formula>
    </cfRule>
  </conditionalFormatting>
  <conditionalFormatting sqref="G148 G156 G150">
    <cfRule type="expression" dxfId="158" priority="442">
      <formula>#REF!&lt;$A184</formula>
    </cfRule>
  </conditionalFormatting>
  <conditionalFormatting sqref="G148:G149 G155:G156 G136">
    <cfRule type="expression" dxfId="157" priority="483">
      <formula>#REF!&lt;#REF!</formula>
    </cfRule>
  </conditionalFormatting>
  <conditionalFormatting sqref="G147 G152">
    <cfRule type="expression" dxfId="156" priority="494">
      <formula>#REF!&lt;$A187</formula>
    </cfRule>
  </conditionalFormatting>
  <conditionalFormatting sqref="G117:G126 G128:G140 G142:G156">
    <cfRule type="expression" dxfId="155" priority="266">
      <formula>#REF!&lt;$A148</formula>
    </cfRule>
  </conditionalFormatting>
  <conditionalFormatting sqref="G147 G155">
    <cfRule type="expression" dxfId="154" priority="265">
      <formula>#REF!&lt;$A184</formula>
    </cfRule>
  </conditionalFormatting>
  <conditionalFormatting sqref="G148">
    <cfRule type="expression" dxfId="153" priority="511">
      <formula>#REF!&lt;$A184</formula>
    </cfRule>
  </conditionalFormatting>
  <conditionalFormatting sqref="G131:G133">
    <cfRule type="expression" dxfId="152" priority="530">
      <formula>#REF!&lt;$A160</formula>
    </cfRule>
  </conditionalFormatting>
  <conditionalFormatting sqref="G138">
    <cfRule type="expression" dxfId="151" priority="531">
      <formula>#REF!&lt;$A186</formula>
    </cfRule>
  </conditionalFormatting>
  <conditionalFormatting sqref="G142:G156">
    <cfRule type="expression" dxfId="150" priority="570">
      <formula>#REF!&lt;#REF!</formula>
    </cfRule>
  </conditionalFormatting>
  <conditionalFormatting sqref="G143">
    <cfRule type="expression" dxfId="149" priority="573">
      <formula>#REF!&lt;$A186</formula>
    </cfRule>
  </conditionalFormatting>
  <conditionalFormatting sqref="G148:G149">
    <cfRule type="expression" dxfId="148" priority="578">
      <formula>#REF!&lt;#REF!</formula>
    </cfRule>
  </conditionalFormatting>
  <conditionalFormatting sqref="G150">
    <cfRule type="expression" dxfId="147" priority="597">
      <formula>#REF!&lt;$A186</formula>
    </cfRule>
  </conditionalFormatting>
  <conditionalFormatting sqref="G134:G140 G142:G153">
    <cfRule type="expression" dxfId="146" priority="599">
      <formula>#REF!&lt;$A166</formula>
    </cfRule>
  </conditionalFormatting>
  <conditionalFormatting sqref="G151:G153">
    <cfRule type="expression" dxfId="145" priority="641">
      <formula>#REF!&lt;$A181</formula>
    </cfRule>
  </conditionalFormatting>
  <conditionalFormatting sqref="D181:D183">
    <cfRule type="expression" dxfId="144" priority="346">
      <formula>$D$180="NON"</formula>
    </cfRule>
  </conditionalFormatting>
  <conditionalFormatting sqref="G152:G155">
    <cfRule type="expression" dxfId="143" priority="674">
      <formula>#REF!&lt;$A180</formula>
    </cfRule>
  </conditionalFormatting>
  <conditionalFormatting sqref="G138 G146:G147">
    <cfRule type="expression" dxfId="142" priority="706">
      <formula>#REF!&lt;#REF!</formula>
    </cfRule>
  </conditionalFormatting>
  <conditionalFormatting sqref="G144:G146">
    <cfRule type="expression" dxfId="141" priority="734">
      <formula>#REF!&lt;$A181</formula>
    </cfRule>
  </conditionalFormatting>
  <conditionalFormatting sqref="G147 G150:G151">
    <cfRule type="expression" dxfId="140" priority="736">
      <formula>#REF!&lt;#REF!</formula>
    </cfRule>
  </conditionalFormatting>
  <conditionalFormatting sqref="E181:E183 E6:E8 E70:E81 E63:E67 E169:E178 E159:E167 E10:E12 E14:E17 H186:H192">
    <cfRule type="expression" dxfId="139" priority="237">
      <formula>E6&lt;&gt;"ok"</formula>
    </cfRule>
    <cfRule type="expression" dxfId="138" priority="238">
      <formula>E6="OK"</formula>
    </cfRule>
  </conditionalFormatting>
  <conditionalFormatting sqref="F95:F104">
    <cfRule type="expression" dxfId="137" priority="216">
      <formula>#REF!&lt;$A125</formula>
    </cfRule>
  </conditionalFormatting>
  <conditionalFormatting sqref="F106:F115">
    <cfRule type="expression" dxfId="136" priority="215">
      <formula>#REF!&lt;$A136</formula>
    </cfRule>
  </conditionalFormatting>
  <conditionalFormatting sqref="B95:E104 B106:E115 B117:B126 D117:F117 B128:B140 D128:F140 B142:B156 D142:F156 D124:F126 B84:E93">
    <cfRule type="expression" dxfId="135" priority="214">
      <formula>$C$21&lt;&gt;"X"</formula>
    </cfRule>
  </conditionalFormatting>
  <conditionalFormatting sqref="B71:D72">
    <cfRule type="expression" dxfId="134" priority="203">
      <formula>$D$70&lt;&gt;"OUI"</formula>
    </cfRule>
  </conditionalFormatting>
  <conditionalFormatting sqref="G151">
    <cfRule type="expression" dxfId="133" priority="841">
      <formula>#REF!&lt;#REF!</formula>
    </cfRule>
  </conditionalFormatting>
  <conditionalFormatting sqref="D192:G192 D189:G190 D186:E187">
    <cfRule type="expression" dxfId="132" priority="200">
      <formula>$C$24="X"</formula>
    </cfRule>
  </conditionalFormatting>
  <conditionalFormatting sqref="G152">
    <cfRule type="expression" dxfId="131" priority="936">
      <formula>#REF!&lt;#REF!</formula>
    </cfRule>
  </conditionalFormatting>
  <conditionalFormatting sqref="G95">
    <cfRule type="expression" dxfId="130" priority="197">
      <formula>#REF!&lt;$A125</formula>
    </cfRule>
  </conditionalFormatting>
  <conditionalFormatting sqref="G106">
    <cfRule type="expression" dxfId="129" priority="194">
      <formula>#REF!&lt;$A136</formula>
    </cfRule>
  </conditionalFormatting>
  <conditionalFormatting sqref="H117">
    <cfRule type="expression" dxfId="128" priority="191">
      <formula>#REF!&lt;$A147</formula>
    </cfRule>
  </conditionalFormatting>
  <conditionalFormatting sqref="H128">
    <cfRule type="expression" dxfId="127" priority="188">
      <formula>#REF!&lt;$A158</formula>
    </cfRule>
  </conditionalFormatting>
  <conditionalFormatting sqref="H142">
    <cfRule type="expression" dxfId="126" priority="185">
      <formula>#REF!&lt;$A174</formula>
    </cfRule>
  </conditionalFormatting>
  <conditionalFormatting sqref="G149">
    <cfRule type="expression" dxfId="125" priority="938">
      <formula>#REF!&lt;$A186</formula>
    </cfRule>
  </conditionalFormatting>
  <conditionalFormatting sqref="F95:F104">
    <cfRule type="expression" dxfId="124" priority="170">
      <formula>#REF!&lt;$A125</formula>
    </cfRule>
  </conditionalFormatting>
  <conditionalFormatting sqref="F106:F115">
    <cfRule type="expression" dxfId="123" priority="169">
      <formula>#REF!&lt;$A136</formula>
    </cfRule>
  </conditionalFormatting>
  <conditionalFormatting sqref="G117:G126">
    <cfRule type="expression" dxfId="122" priority="167">
      <formula>#REF!&lt;$A147</formula>
    </cfRule>
  </conditionalFormatting>
  <conditionalFormatting sqref="G117:G126">
    <cfRule type="expression" dxfId="121" priority="166">
      <formula>#REF!&lt;$A147</formula>
    </cfRule>
  </conditionalFormatting>
  <conditionalFormatting sqref="G117:G126">
    <cfRule type="expression" dxfId="120" priority="165">
      <formula>#REF!&lt;$A147</formula>
    </cfRule>
  </conditionalFormatting>
  <conditionalFormatting sqref="G117:G126">
    <cfRule type="expression" dxfId="119" priority="164">
      <formula>#REF!&lt;$A147</formula>
    </cfRule>
  </conditionalFormatting>
  <conditionalFormatting sqref="G142:G150 G154:G156">
    <cfRule type="expression" dxfId="118" priority="154">
      <formula>#REF!&lt;$A177</formula>
    </cfRule>
  </conditionalFormatting>
  <conditionalFormatting sqref="F95:F104">
    <cfRule type="expression" dxfId="117" priority="153">
      <formula>#REF!&lt;$A125</formula>
    </cfRule>
  </conditionalFormatting>
  <conditionalFormatting sqref="F106:F115">
    <cfRule type="expression" dxfId="116" priority="152">
      <formula>#REF!&lt;$A136</formula>
    </cfRule>
  </conditionalFormatting>
  <conditionalFormatting sqref="F95:F104">
    <cfRule type="expression" dxfId="115" priority="151">
      <formula>#REF!&lt;$A125</formula>
    </cfRule>
  </conditionalFormatting>
  <conditionalFormatting sqref="F106:F115">
    <cfRule type="expression" dxfId="114" priority="150">
      <formula>#REF!&lt;$A136</formula>
    </cfRule>
  </conditionalFormatting>
  <conditionalFormatting sqref="G117:G126">
    <cfRule type="expression" dxfId="113" priority="149">
      <formula>#REF!&lt;$A147</formula>
    </cfRule>
  </conditionalFormatting>
  <conditionalFormatting sqref="G117:G126">
    <cfRule type="expression" dxfId="112" priority="148">
      <formula>#REF!&lt;$A147</formula>
    </cfRule>
  </conditionalFormatting>
  <conditionalFormatting sqref="G117:G126">
    <cfRule type="expression" dxfId="111" priority="147">
      <formula>#REF!&lt;$A147</formula>
    </cfRule>
  </conditionalFormatting>
  <conditionalFormatting sqref="G117:G126">
    <cfRule type="expression" dxfId="110" priority="146">
      <formula>#REF!&lt;$A147</formula>
    </cfRule>
  </conditionalFormatting>
  <conditionalFormatting sqref="D70">
    <cfRule type="expression" dxfId="109" priority="135">
      <formula>$C$21="X"</formula>
    </cfRule>
  </conditionalFormatting>
  <conditionalFormatting sqref="D71:D72">
    <cfRule type="expression" dxfId="108" priority="134">
      <formula>$C$21="X"</formula>
    </cfRule>
  </conditionalFormatting>
  <conditionalFormatting sqref="E180">
    <cfRule type="expression" dxfId="107" priority="128">
      <formula>E180&lt;&gt;"ok"</formula>
    </cfRule>
    <cfRule type="expression" dxfId="106" priority="129">
      <formula>E180="OK"</formula>
    </cfRule>
  </conditionalFormatting>
  <conditionalFormatting sqref="D192:G192">
    <cfRule type="expression" dxfId="105" priority="127">
      <formula>$C$24="X"</formula>
    </cfRule>
  </conditionalFormatting>
  <conditionalFormatting sqref="D189:G190">
    <cfRule type="expression" dxfId="104" priority="126">
      <formula>$C$24="X"</formula>
    </cfRule>
  </conditionalFormatting>
  <conditionalFormatting sqref="C117">
    <cfRule type="expression" dxfId="103" priority="125">
      <formula>$C$21="X"</formula>
    </cfRule>
  </conditionalFormatting>
  <conditionalFormatting sqref="C117">
    <cfRule type="expression" dxfId="102" priority="124">
      <formula>$D$79&lt;$B117</formula>
    </cfRule>
  </conditionalFormatting>
  <conditionalFormatting sqref="C117">
    <cfRule type="expression" dxfId="101" priority="123">
      <formula>$C$21&lt;&gt;"X"</formula>
    </cfRule>
  </conditionalFormatting>
  <conditionalFormatting sqref="C124:C126">
    <cfRule type="expression" dxfId="100" priority="122">
      <formula>$C$21="X"</formula>
    </cfRule>
  </conditionalFormatting>
  <conditionalFormatting sqref="C124:C126">
    <cfRule type="expression" dxfId="99" priority="121">
      <formula>$D$79&lt;$B124</formula>
    </cfRule>
  </conditionalFormatting>
  <conditionalFormatting sqref="C124:C126">
    <cfRule type="expression" dxfId="98" priority="120">
      <formula>$C$21&lt;&gt;"X"</formula>
    </cfRule>
  </conditionalFormatting>
  <conditionalFormatting sqref="C128:C129">
    <cfRule type="expression" dxfId="97" priority="119">
      <formula>$C$21="X"</formula>
    </cfRule>
  </conditionalFormatting>
  <conditionalFormatting sqref="C128:C129">
    <cfRule type="expression" dxfId="96" priority="118">
      <formula>$D$80&lt;$B128</formula>
    </cfRule>
  </conditionalFormatting>
  <conditionalFormatting sqref="C128:C129">
    <cfRule type="expression" dxfId="95" priority="117">
      <formula>$C$21&lt;&gt;"X"</formula>
    </cfRule>
  </conditionalFormatting>
  <conditionalFormatting sqref="C130:C140">
    <cfRule type="expression" dxfId="94" priority="116">
      <formula>$C$21="X"</formula>
    </cfRule>
  </conditionalFormatting>
  <conditionalFormatting sqref="C130:C140">
    <cfRule type="expression" dxfId="93" priority="115">
      <formula>$D$80&lt;$B130</formula>
    </cfRule>
  </conditionalFormatting>
  <conditionalFormatting sqref="C130:C140">
    <cfRule type="expression" dxfId="92" priority="114">
      <formula>$C$21&lt;&gt;"X"</formula>
    </cfRule>
  </conditionalFormatting>
  <conditionalFormatting sqref="C142:C156">
    <cfRule type="expression" dxfId="91" priority="113">
      <formula>$C$21="X"</formula>
    </cfRule>
  </conditionalFormatting>
  <conditionalFormatting sqref="C142:C156">
    <cfRule type="expression" dxfId="90" priority="112">
      <formula>$D$81&lt;$B142</formula>
    </cfRule>
  </conditionalFormatting>
  <conditionalFormatting sqref="C142:C156">
    <cfRule type="expression" dxfId="89" priority="111">
      <formula>$C$21&lt;&gt;"X"</formula>
    </cfRule>
  </conditionalFormatting>
  <conditionalFormatting sqref="F95:F104">
    <cfRule type="expression" dxfId="88" priority="78">
      <formula>#REF!&lt;$A125</formula>
    </cfRule>
  </conditionalFormatting>
  <conditionalFormatting sqref="F106:F115">
    <cfRule type="expression" dxfId="87" priority="77">
      <formula>#REF!&lt;$A136</formula>
    </cfRule>
  </conditionalFormatting>
  <conditionalFormatting sqref="F106:F115">
    <cfRule type="expression" dxfId="86" priority="76">
      <formula>#REF!&lt;$A136</formula>
    </cfRule>
  </conditionalFormatting>
  <conditionalFormatting sqref="F106:F115">
    <cfRule type="expression" dxfId="85" priority="75">
      <formula>#REF!&lt;$A136</formula>
    </cfRule>
  </conditionalFormatting>
  <conditionalFormatting sqref="F106:F115">
    <cfRule type="expression" dxfId="84" priority="74">
      <formula>#REF!&lt;$A136</formula>
    </cfRule>
  </conditionalFormatting>
  <conditionalFormatting sqref="F106:F115">
    <cfRule type="expression" dxfId="83" priority="73">
      <formula>#REF!&lt;$A136</formula>
    </cfRule>
  </conditionalFormatting>
  <conditionalFormatting sqref="F106:F115">
    <cfRule type="expression" dxfId="82" priority="72">
      <formula>#REF!&lt;$A136</formula>
    </cfRule>
  </conditionalFormatting>
  <conditionalFormatting sqref="F106:F115">
    <cfRule type="expression" dxfId="81" priority="71">
      <formula>#REF!&lt;$A136</formula>
    </cfRule>
  </conditionalFormatting>
  <conditionalFormatting sqref="G143:G156">
    <cfRule type="expression" dxfId="80" priority="990">
      <formula>#REF!&lt;$A177</formula>
    </cfRule>
  </conditionalFormatting>
  <conditionalFormatting sqref="D175:D176">
    <cfRule type="expression" dxfId="79" priority="70">
      <formula>$D$174=0</formula>
    </cfRule>
  </conditionalFormatting>
  <conditionalFormatting sqref="G128:G140">
    <cfRule type="expression" dxfId="78" priority="993">
      <formula>#REF!&lt;#REF!</formula>
    </cfRule>
  </conditionalFormatting>
  <conditionalFormatting sqref="G129">
    <cfRule type="expression" dxfId="77" priority="998">
      <formula>#REF!&lt;#REF!</formula>
    </cfRule>
  </conditionalFormatting>
  <conditionalFormatting sqref="D164:D165">
    <cfRule type="expression" dxfId="76" priority="69">
      <formula>$D$163=0</formula>
    </cfRule>
  </conditionalFormatting>
  <conditionalFormatting sqref="F95:F104">
    <cfRule type="expression" dxfId="75" priority="67">
      <formula>#REF!&lt;$A125</formula>
    </cfRule>
  </conditionalFormatting>
  <conditionalFormatting sqref="F106:F115">
    <cfRule type="expression" dxfId="74" priority="66">
      <formula>#REF!&lt;$A136</formula>
    </cfRule>
  </conditionalFormatting>
  <conditionalFormatting sqref="F106:F115">
    <cfRule type="expression" dxfId="73" priority="65">
      <formula>#REF!&lt;$A136</formula>
    </cfRule>
  </conditionalFormatting>
  <conditionalFormatting sqref="F106:F115">
    <cfRule type="expression" dxfId="72" priority="64">
      <formula>#REF!&lt;$A136</formula>
    </cfRule>
  </conditionalFormatting>
  <conditionalFormatting sqref="F106:F115">
    <cfRule type="expression" dxfId="71" priority="63">
      <formula>#REF!&lt;$A136</formula>
    </cfRule>
  </conditionalFormatting>
  <conditionalFormatting sqref="F106:F115">
    <cfRule type="expression" dxfId="70" priority="62">
      <formula>#REF!&lt;$A136</formula>
    </cfRule>
  </conditionalFormatting>
  <conditionalFormatting sqref="F106:F115">
    <cfRule type="expression" dxfId="69" priority="61">
      <formula>#REF!&lt;$A136</formula>
    </cfRule>
  </conditionalFormatting>
  <conditionalFormatting sqref="F106:F115">
    <cfRule type="expression" dxfId="68" priority="60">
      <formula>#REF!&lt;$A136</formula>
    </cfRule>
  </conditionalFormatting>
  <conditionalFormatting sqref="F106:F115">
    <cfRule type="expression" dxfId="67" priority="59">
      <formula>#REF!&lt;$A136</formula>
    </cfRule>
  </conditionalFormatting>
  <conditionalFormatting sqref="D191:G192">
    <cfRule type="expression" dxfId="66" priority="58">
      <formula>$C$24="X"</formula>
    </cfRule>
  </conditionalFormatting>
  <conditionalFormatting sqref="D191:G192">
    <cfRule type="expression" dxfId="65" priority="57">
      <formula>$C$24="X"</formula>
    </cfRule>
  </conditionalFormatting>
  <conditionalFormatting sqref="D188:E188">
    <cfRule type="expression" dxfId="64" priority="56">
      <formula>$C$24="X"</formula>
    </cfRule>
  </conditionalFormatting>
  <conditionalFormatting sqref="D188:E188">
    <cfRule type="expression" dxfId="63" priority="55">
      <formula>$C$24="X"</formula>
    </cfRule>
  </conditionalFormatting>
  <conditionalFormatting sqref="G153:G156">
    <cfRule type="expression" dxfId="62" priority="999">
      <formula>#REF!&lt;#REF!</formula>
    </cfRule>
  </conditionalFormatting>
  <conditionalFormatting sqref="F186:F187">
    <cfRule type="expression" dxfId="61" priority="54">
      <formula>$C$24="X"</formula>
    </cfRule>
  </conditionalFormatting>
  <conditionalFormatting sqref="F186:F187">
    <cfRule type="expression" dxfId="60" priority="53">
      <formula>$C$24="X"</formula>
    </cfRule>
  </conditionalFormatting>
  <conditionalFormatting sqref="F188">
    <cfRule type="expression" dxfId="59" priority="52">
      <formula>$C$24="X"</formula>
    </cfRule>
  </conditionalFormatting>
  <conditionalFormatting sqref="F188">
    <cfRule type="expression" dxfId="58" priority="51">
      <formula>$C$24="X"</formula>
    </cfRule>
  </conditionalFormatting>
  <conditionalFormatting sqref="G186:G187">
    <cfRule type="expression" dxfId="57" priority="50">
      <formula>$C$24="X"</formula>
    </cfRule>
  </conditionalFormatting>
  <conditionalFormatting sqref="G186:G187">
    <cfRule type="expression" dxfId="56" priority="49">
      <formula>$C$24="X"</formula>
    </cfRule>
  </conditionalFormatting>
  <conditionalFormatting sqref="G188">
    <cfRule type="expression" dxfId="55" priority="48">
      <formula>$C$24="X"</formula>
    </cfRule>
  </conditionalFormatting>
  <conditionalFormatting sqref="G188">
    <cfRule type="expression" dxfId="54" priority="47">
      <formula>$C$24="X"</formula>
    </cfRule>
  </conditionalFormatting>
  <conditionalFormatting sqref="G128:G140">
    <cfRule type="expression" dxfId="53" priority="46">
      <formula>#REF!&lt;$A158</formula>
    </cfRule>
  </conditionalFormatting>
  <conditionalFormatting sqref="G128:G140">
    <cfRule type="expression" dxfId="52" priority="45">
      <formula>#REF!&lt;$A158</formula>
    </cfRule>
  </conditionalFormatting>
  <conditionalFormatting sqref="G128:G140">
    <cfRule type="expression" dxfId="51" priority="44">
      <formula>#REF!&lt;$A158</formula>
    </cfRule>
  </conditionalFormatting>
  <conditionalFormatting sqref="G128:G140">
    <cfRule type="expression" dxfId="50" priority="43">
      <formula>#REF!&lt;$A158</formula>
    </cfRule>
  </conditionalFormatting>
  <conditionalFormatting sqref="G128:G140">
    <cfRule type="expression" dxfId="49" priority="42">
      <formula>#REF!&lt;$A158</formula>
    </cfRule>
  </conditionalFormatting>
  <conditionalFormatting sqref="G128:G140">
    <cfRule type="expression" dxfId="48" priority="41">
      <formula>#REF!&lt;$A158</formula>
    </cfRule>
  </conditionalFormatting>
  <conditionalFormatting sqref="G128:G140">
    <cfRule type="expression" dxfId="47" priority="40">
      <formula>#REF!&lt;$A158</formula>
    </cfRule>
  </conditionalFormatting>
  <conditionalFormatting sqref="G128:G140">
    <cfRule type="expression" dxfId="46" priority="39">
      <formula>#REF!&lt;$A158</formula>
    </cfRule>
  </conditionalFormatting>
  <conditionalFormatting sqref="G128:G140">
    <cfRule type="expression" dxfId="45" priority="38">
      <formula>#REF!&lt;$A158</formula>
    </cfRule>
  </conditionalFormatting>
  <conditionalFormatting sqref="G128:G140">
    <cfRule type="expression" dxfId="44" priority="37">
      <formula>#REF!&lt;$A158</formula>
    </cfRule>
  </conditionalFormatting>
  <conditionalFormatting sqref="G128:G140">
    <cfRule type="expression" dxfId="43" priority="36">
      <formula>#REF!&lt;$A158</formula>
    </cfRule>
  </conditionalFormatting>
  <conditionalFormatting sqref="G128:G140">
    <cfRule type="expression" dxfId="42" priority="35">
      <formula>#REF!&lt;$A158</formula>
    </cfRule>
  </conditionalFormatting>
  <conditionalFormatting sqref="G128:G140">
    <cfRule type="expression" dxfId="41" priority="34">
      <formula>#REF!&lt;$A158</formula>
    </cfRule>
  </conditionalFormatting>
  <conditionalFormatting sqref="G128:G140">
    <cfRule type="expression" dxfId="40" priority="33">
      <formula>#REF!&lt;$A158</formula>
    </cfRule>
  </conditionalFormatting>
  <conditionalFormatting sqref="G128:G140">
    <cfRule type="expression" dxfId="39" priority="32">
      <formula>#REF!&lt;$A158</formula>
    </cfRule>
  </conditionalFormatting>
  <conditionalFormatting sqref="G128:G140">
    <cfRule type="expression" dxfId="38" priority="31">
      <formula>#REF!&lt;$A158</formula>
    </cfRule>
  </conditionalFormatting>
  <conditionalFormatting sqref="G128:G140">
    <cfRule type="expression" dxfId="37" priority="30">
      <formula>#REF!&lt;$A158</formula>
    </cfRule>
  </conditionalFormatting>
  <conditionalFormatting sqref="G142:G156">
    <cfRule type="expression" dxfId="36" priority="28">
      <formula>#REF!&lt;#REF!</formula>
    </cfRule>
  </conditionalFormatting>
  <conditionalFormatting sqref="D118:F123">
    <cfRule type="expression" dxfId="35" priority="6">
      <formula>$C$21="X"</formula>
    </cfRule>
  </conditionalFormatting>
  <conditionalFormatting sqref="D118:F123">
    <cfRule type="expression" dxfId="34" priority="5">
      <formula>$D$79&lt;$B118</formula>
    </cfRule>
  </conditionalFormatting>
  <conditionalFormatting sqref="D118:F123">
    <cfRule type="expression" dxfId="33" priority="4">
      <formula>$C$21&lt;&gt;"X"</formula>
    </cfRule>
  </conditionalFormatting>
  <conditionalFormatting sqref="C118:C123">
    <cfRule type="expression" dxfId="32" priority="3">
      <formula>$C$21="X"</formula>
    </cfRule>
  </conditionalFormatting>
  <conditionalFormatting sqref="C118:C123">
    <cfRule type="expression" dxfId="31" priority="2">
      <formula>$D$79&lt;$B118</formula>
    </cfRule>
  </conditionalFormatting>
  <conditionalFormatting sqref="C118:C123">
    <cfRule type="expression" dxfId="30" priority="1">
      <formula>$C$21&lt;&gt;"X"</formula>
    </cfRule>
  </conditionalFormatting>
  <conditionalFormatting sqref="G150">
    <cfRule type="expression" dxfId="29" priority="1018">
      <formula>#REF!&lt;#REF!</formula>
    </cfRule>
  </conditionalFormatting>
  <conditionalFormatting sqref="G143">
    <cfRule type="expression" dxfId="28" priority="1033">
      <formula>#REF!&lt;$A192</formula>
    </cfRule>
  </conditionalFormatting>
  <conditionalFormatting sqref="G154">
    <cfRule type="expression" dxfId="27" priority="1038">
      <formula>#REF!&lt;$A192</formula>
    </cfRule>
  </conditionalFormatting>
  <conditionalFormatting sqref="G151">
    <cfRule type="expression" dxfId="26" priority="1044">
      <formula>#REF!&lt;$A192</formula>
    </cfRule>
  </conditionalFormatting>
  <conditionalFormatting sqref="G139">
    <cfRule type="expression" dxfId="25" priority="1047">
      <formula>#REF!&lt;$A192</formula>
    </cfRule>
  </conditionalFormatting>
  <conditionalFormatting sqref="G144:G150">
    <cfRule type="expression" dxfId="24" priority="1048">
      <formula>#REF!&lt;$A186</formula>
    </cfRule>
  </conditionalFormatting>
  <dataValidations count="26">
    <dataValidation type="list" allowBlank="1" showInputMessage="1" showErrorMessage="1" error="Ce champ n'accepte qu'une valeur numérique" sqref="D166 D177" xr:uid="{00000000-0002-0000-0100-000000000000}">
      <formula1>C$234:C$237</formula1>
    </dataValidation>
    <dataValidation type="decimal" allowBlank="1" showInputMessage="1" showErrorMessage="1" error="Seule une valeur numérique est acceptée dans ce champ" sqref="D68:D69 D73 D157:E157 D64:D66 D207 D205:G206 D194:D204" xr:uid="{00000000-0002-0000-0100-000001000000}">
      <formula1>0</formula1>
      <formula2>1000000</formula2>
    </dataValidation>
    <dataValidation type="list" allowBlank="1" showInputMessage="1" showErrorMessage="1" sqref="D180 D70" xr:uid="{00000000-0002-0000-0100-000002000000}">
      <formula1>$E$230:$E$231</formula1>
    </dataValidation>
    <dataValidation type="decimal" allowBlank="1" showInputMessage="1" showErrorMessage="1" error="Ce champ n'accepte que des valeurs entre 0 et 100_x000a_" sqref="D163 D178 D167 D174" xr:uid="{00000000-0002-0000-0100-000003000000}">
      <formula1>0</formula1>
      <formula2>100</formula2>
    </dataValidation>
    <dataValidation type="decimal" allowBlank="1" showInputMessage="1" showErrorMessage="1" error="Ce champ n'accepte qu'une valeur numérique" sqref="D169:D173 D159:D163" xr:uid="{00000000-0002-0000-0100-000004000000}">
      <formula1>0</formula1>
      <formula2>10000000000000</formula2>
    </dataValidation>
    <dataValidation type="list" allowBlank="1" showInputMessage="1" showErrorMessage="1" error="Seule une valeur numérique entière est acceptée dans ce champs" sqref="E142:E156 C142:C156 C128:C140 E128:E140 E117:E126 C117:C126" xr:uid="{00000000-0002-0000-0100-000005000000}">
      <formula1>$E$230:$E$231</formula1>
    </dataValidation>
    <dataValidation type="list" showInputMessage="1" showErrorMessage="1" error="Attention cette case ne peut que comporter la valeur OUI ou NON" sqref="D95:D104 D106:D115 D84:D93" xr:uid="{00000000-0002-0000-0100-000006000000}">
      <formula1>$C$230:$C$232</formula1>
    </dataValidation>
    <dataValidation type="list" allowBlank="1" showInputMessage="1" showErrorMessage="1" sqref="F142:F156 F117:F126 E95:E104 E106:E115 F128:F140 E84:E93" xr:uid="{00000000-0002-0000-0100-000007000000}">
      <formula1>$D$230:$D$231</formula1>
    </dataValidation>
    <dataValidation type="list" allowBlank="1" showInputMessage="1" showErrorMessage="1" error="Seule une valeur contenue dans le menu déroulant est acceptée dans ce champ" sqref="D74" xr:uid="{00000000-0002-0000-0100-000008000000}">
      <formula1>$B$227:$B$228</formula1>
    </dataValidation>
    <dataValidation type="list" allowBlank="1" showInputMessage="1" showErrorMessage="1" sqref="C10" xr:uid="{00000000-0002-0000-0100-000009000000}">
      <formula1>$B$209:$B$218</formula1>
    </dataValidation>
    <dataValidation type="whole" allowBlank="1" showInputMessage="1" showErrorMessage="1" sqref="C12" xr:uid="{00000000-0002-0000-0100-00000A000000}">
      <formula1>0</formula1>
      <formula2>10000000000000</formula2>
    </dataValidation>
    <dataValidation type="list" allowBlank="1" showInputMessage="1" showErrorMessage="1" sqref="C7:D7" xr:uid="{00000000-0002-0000-0100-00000B000000}">
      <formula1>$B$241:$B$336</formula1>
    </dataValidation>
    <dataValidation type="list" allowBlank="1" showInputMessage="1" showErrorMessage="1" sqref="C20:C24" xr:uid="{00000000-0002-0000-0100-00000C000000}">
      <formula1>$D$229:$D$229</formula1>
    </dataValidation>
    <dataValidation type="list" showInputMessage="1" showErrorMessage="1" error="Attention cette case ne peut que comporter la valeur OUI ou NON" sqref="C106:C115 C95:C104 C84:C93" xr:uid="{00000000-0002-0000-0100-00000D000000}">
      <formula1>$B$230:$B$232</formula1>
    </dataValidation>
    <dataValidation type="list" allowBlank="1" showInputMessage="1" showErrorMessage="1" error="Seule une valeur numérique entière est acceptée dans ce champs" sqref="D142:D156 D128:D140 D117:D126" xr:uid="{00000000-0002-0000-0100-00000E000000}">
      <formula1>$B$230:$B$232</formula1>
    </dataValidation>
    <dataValidation type="list" allowBlank="1" showInputMessage="1" showErrorMessage="1" error="Seule une valeur numérique est acceptée dans ce champ" sqref="D67" xr:uid="{00000000-0002-0000-0100-00000F000000}">
      <formula1>$E$230:$E$231</formula1>
    </dataValidation>
    <dataValidation type="list" showInputMessage="1" showErrorMessage="1" error="_x000a_" sqref="D175" xr:uid="{306027F5-EB34-4861-A7C8-EE4454F7CFA7}">
      <formula1>$D$234:$D$236</formula1>
    </dataValidation>
    <dataValidation type="list" allowBlank="1" showInputMessage="1" showErrorMessage="1" sqref="C11:D11" xr:uid="{16E3892C-25D5-4A5B-A9EF-0D31B33B9610}">
      <formula1>$D$209:$D$211</formula1>
    </dataValidation>
    <dataValidation type="custom" allowBlank="1" showInputMessage="1" showErrorMessage="1" errorTitle="Valeur aberrante" error="Le taux d'humidité du matériau stocké doit être supérieur à zéro." sqref="D190:G190 D187:G187" xr:uid="{FD279C25-51BA-4E6D-9D6D-70374A9FEEDB}">
      <formula1>D187&gt;0</formula1>
    </dataValidation>
    <dataValidation type="custom" allowBlank="1" showInputMessage="1" showErrorMessage="1" errorTitle="Valeur aberrante" error="Le nombre de piles de stockage doit être supérieur à zéro." sqref="D188:G188 E191:G191 D191" xr:uid="{EAFABE08-1514-4378-96F5-E10E45EE36E6}">
      <formula1>D188&gt;0</formula1>
    </dataValidation>
    <dataValidation type="list" showInputMessage="1" showErrorMessage="1" sqref="D164" xr:uid="{60A6B05B-9B23-4545-8304-FC678B92A2A3}">
      <formula1>$D$234:$D$236</formula1>
    </dataValidation>
    <dataValidation type="decimal" allowBlank="1" showInputMessage="1" showErrorMessage="1" error="Ce champ n'accepte que des valeurs entre 0 et 100% _x000a_" sqref="D165" xr:uid="{D2BA97BD-8AD7-49DA-AC3C-D9DB5A90F855}">
      <formula1>0</formula1>
      <formula2>1</formula2>
    </dataValidation>
    <dataValidation type="decimal" allowBlank="1" showInputMessage="1" showErrorMessage="1" error="Ce champ n'accepte que des valeurs entre 0 et 100%_x000a_" sqref="D176" xr:uid="{CCBE51FE-ECA4-49AE-B9AA-6134F835E5A6}">
      <formula1>0</formula1>
      <formula2>1</formula2>
    </dataValidation>
    <dataValidation type="decimal" allowBlank="1" showInputMessage="1" showErrorMessage="1" sqref="C14:C17" xr:uid="{835A6D9E-8D47-4C5A-AE80-55F17385F14E}">
      <formula1>0</formula1>
      <formula2>10000000000000</formula2>
    </dataValidation>
    <dataValidation type="decimal" allowBlank="1" showInputMessage="1" showErrorMessage="1" errorTitle="Valeur aberrante" error="Seul un pourcentage entre 0 et 100% est accepté pour ce champ.  " sqref="D192:G192" xr:uid="{8CEB3E98-3B77-4909-B419-0DEE72AA1FC2}">
      <formula1>0</formula1>
      <formula2>1</formula2>
    </dataValidation>
    <dataValidation type="decimal" allowBlank="1" showInputMessage="1" showErrorMessage="1" error="Seul un pourcentage entre 0 et 100% est accepté pour ce champ.  " sqref="D192" xr:uid="{DD5B6F4A-DFD8-4983-ABE2-3811EB988C15}">
      <formula1>0</formula1>
      <formula2>1</formula2>
    </dataValidation>
  </dataValidations>
  <printOptions horizontalCentered="1" verticalCentered="1"/>
  <pageMargins left="0.70866141732283472" right="0.70866141732283472" top="0.74803149606299213" bottom="0.74803149606299213" header="0.31496062992125984" footer="0.31496062992125984"/>
  <pageSetup paperSize="9" scale="20" fitToHeight="5" orientation="landscape" horizontalDpi="300" verticalDpi="300" r:id="rId1"/>
  <rowBreaks count="2" manualBreakCount="2">
    <brk id="81" max="11" man="1"/>
    <brk id="140"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K78"/>
  <sheetViews>
    <sheetView showGridLines="0" topLeftCell="A52" zoomScale="70" zoomScaleNormal="70" workbookViewId="0">
      <selection activeCell="H60" sqref="H60"/>
    </sheetView>
  </sheetViews>
  <sheetFormatPr baseColWidth="10" defaultColWidth="11.42578125" defaultRowHeight="15" x14ac:dyDescent="0.25"/>
  <cols>
    <col min="1" max="1" width="7" style="250" customWidth="1"/>
    <col min="2" max="2" width="20.85546875" style="250" customWidth="1"/>
    <col min="3" max="4" width="29.140625" style="250" customWidth="1"/>
    <col min="5" max="6" width="27.42578125" style="250" customWidth="1"/>
    <col min="7" max="7" width="8.42578125" style="250" customWidth="1"/>
    <col min="8" max="8" width="27.42578125" style="250" customWidth="1"/>
    <col min="9" max="9" width="15.28515625" style="250" customWidth="1"/>
    <col min="10" max="10" width="13.85546875" style="250" customWidth="1"/>
    <col min="11" max="16384" width="11.42578125" style="250"/>
  </cols>
  <sheetData>
    <row r="1" spans="2:9" ht="102.75" customHeight="1" x14ac:dyDescent="0.25">
      <c r="E1" s="260"/>
      <c r="F1" s="260"/>
      <c r="G1" s="260"/>
      <c r="H1" s="260"/>
    </row>
    <row r="2" spans="2:9" ht="39" customHeight="1" x14ac:dyDescent="0.25">
      <c r="B2" s="136" t="s">
        <v>300</v>
      </c>
      <c r="D2" s="260"/>
      <c r="E2" s="260"/>
      <c r="F2" s="260"/>
      <c r="G2" s="260"/>
      <c r="H2" s="260"/>
    </row>
    <row r="3" spans="2:9" ht="9" customHeight="1" x14ac:dyDescent="0.25">
      <c r="D3" s="260"/>
      <c r="E3" s="260"/>
      <c r="F3" s="260"/>
      <c r="G3" s="260"/>
      <c r="H3" s="260"/>
    </row>
    <row r="4" spans="2:9" s="254" customFormat="1" ht="22.5" customHeight="1" x14ac:dyDescent="0.25">
      <c r="B4" s="329" t="s">
        <v>581</v>
      </c>
      <c r="C4" s="597"/>
      <c r="D4" s="598"/>
      <c r="E4" s="599"/>
      <c r="F4" s="598"/>
      <c r="G4" s="265"/>
      <c r="H4" s="263"/>
      <c r="I4" s="266"/>
    </row>
    <row r="5" spans="2:9" s="254" customFormat="1" ht="22.5" customHeight="1" x14ac:dyDescent="0.25">
      <c r="B5" s="600"/>
      <c r="C5" s="597"/>
      <c r="D5" s="598"/>
      <c r="E5" s="599"/>
      <c r="F5" s="598"/>
      <c r="G5" s="265"/>
      <c r="H5" s="263"/>
      <c r="I5" s="266"/>
    </row>
    <row r="6" spans="2:9" s="254" customFormat="1" ht="57" customHeight="1" x14ac:dyDescent="0.25">
      <c r="B6" s="582"/>
      <c r="C6" s="566" t="s">
        <v>331</v>
      </c>
      <c r="D6" s="601"/>
      <c r="E6" s="343" t="s">
        <v>12</v>
      </c>
      <c r="F6" s="343" t="s">
        <v>11</v>
      </c>
    </row>
    <row r="7" spans="2:9" s="254" customFormat="1" ht="22.5" customHeight="1" x14ac:dyDescent="0.25">
      <c r="B7" s="602" t="s">
        <v>577</v>
      </c>
      <c r="C7" s="603">
        <f t="shared" ref="C7:C20" si="0">SUMIF($B$25:$B$69,B7,$F$25:$F$69)</f>
        <v>0</v>
      </c>
      <c r="D7" s="601"/>
      <c r="E7" s="604">
        <v>100000</v>
      </c>
      <c r="F7" s="605" t="str">
        <f>IF(C7&gt;E7,"OUI","NON")</f>
        <v>NON</v>
      </c>
    </row>
    <row r="8" spans="2:9" s="254" customFormat="1" ht="22.5" customHeight="1" x14ac:dyDescent="0.25">
      <c r="B8" s="606" t="s">
        <v>578</v>
      </c>
      <c r="C8" s="607">
        <f t="shared" si="0"/>
        <v>0</v>
      </c>
      <c r="D8" s="601"/>
      <c r="E8" s="608">
        <v>10000000</v>
      </c>
      <c r="F8" s="585" t="str">
        <f>IF(C8&gt;E8,"OUI","NON")</f>
        <v>NON</v>
      </c>
    </row>
    <row r="9" spans="2:9" s="254" customFormat="1" ht="22.5" customHeight="1" x14ac:dyDescent="0.25">
      <c r="B9" s="606" t="s">
        <v>10</v>
      </c>
      <c r="C9" s="607">
        <f t="shared" si="0"/>
        <v>0</v>
      </c>
      <c r="D9" s="601"/>
      <c r="E9" s="608">
        <v>500000</v>
      </c>
      <c r="F9" s="585" t="str">
        <f>IF(C9&gt;E9,"OUI","NON")</f>
        <v>NON</v>
      </c>
    </row>
    <row r="10" spans="2:9" s="254" customFormat="1" ht="22.5" customHeight="1" x14ac:dyDescent="0.25">
      <c r="B10" s="606" t="s">
        <v>579</v>
      </c>
      <c r="C10" s="607">
        <f t="shared" si="0"/>
        <v>0</v>
      </c>
      <c r="D10" s="601"/>
      <c r="E10" s="608">
        <v>100000</v>
      </c>
      <c r="F10" s="585" t="str">
        <f>IF(C10&gt;E10,"OUI","NON")</f>
        <v>NON</v>
      </c>
    </row>
    <row r="11" spans="2:9" s="254" customFormat="1" ht="22.5" customHeight="1" x14ac:dyDescent="0.25">
      <c r="B11" s="606" t="s">
        <v>580</v>
      </c>
      <c r="C11" s="607">
        <f t="shared" si="0"/>
        <v>0</v>
      </c>
      <c r="D11" s="601"/>
      <c r="E11" s="608">
        <v>150000</v>
      </c>
      <c r="F11" s="585" t="str">
        <f>IF(C11&gt;E11,"OUI","NON")</f>
        <v>NON</v>
      </c>
    </row>
    <row r="12" spans="2:9" s="254" customFormat="1" ht="22.5" customHeight="1" x14ac:dyDescent="0.25">
      <c r="B12" s="606" t="s">
        <v>9</v>
      </c>
      <c r="C12" s="607">
        <f t="shared" si="0"/>
        <v>0</v>
      </c>
      <c r="D12" s="601"/>
      <c r="E12" s="608">
        <v>10000</v>
      </c>
      <c r="F12" s="585" t="s">
        <v>1</v>
      </c>
    </row>
    <row r="13" spans="2:9" s="254" customFormat="1" ht="22.5" customHeight="1" x14ac:dyDescent="0.25">
      <c r="B13" s="606" t="s">
        <v>8</v>
      </c>
      <c r="C13" s="607">
        <f t="shared" si="0"/>
        <v>0</v>
      </c>
      <c r="D13" s="601"/>
      <c r="E13" s="608">
        <v>20</v>
      </c>
      <c r="F13" s="585" t="s">
        <v>1</v>
      </c>
    </row>
    <row r="14" spans="2:9" s="254" customFormat="1" ht="22.5" customHeight="1" x14ac:dyDescent="0.25">
      <c r="B14" s="606" t="s">
        <v>7</v>
      </c>
      <c r="C14" s="607">
        <f t="shared" si="0"/>
        <v>0</v>
      </c>
      <c r="D14" s="601"/>
      <c r="E14" s="608">
        <v>10</v>
      </c>
      <c r="F14" s="585" t="str">
        <f>IF(C14&gt;E14,"OUI","NON")</f>
        <v>NON</v>
      </c>
    </row>
    <row r="15" spans="2:9" s="254" customFormat="1" ht="22.5" customHeight="1" x14ac:dyDescent="0.25">
      <c r="B15" s="606" t="s">
        <v>6</v>
      </c>
      <c r="C15" s="607">
        <f t="shared" si="0"/>
        <v>0</v>
      </c>
      <c r="D15" s="601"/>
      <c r="E15" s="608">
        <v>100</v>
      </c>
      <c r="F15" s="585" t="str">
        <f>IF(C15&gt;E15,"OUI","NON")</f>
        <v>NON</v>
      </c>
    </row>
    <row r="16" spans="2:9" s="254" customFormat="1" ht="22.5" customHeight="1" x14ac:dyDescent="0.25">
      <c r="B16" s="606" t="s">
        <v>5</v>
      </c>
      <c r="C16" s="607">
        <f t="shared" si="0"/>
        <v>0</v>
      </c>
      <c r="D16" s="601"/>
      <c r="E16" s="608">
        <v>100</v>
      </c>
      <c r="F16" s="585" t="str">
        <f>IF(C16&gt;E16,"OUI","NON")</f>
        <v>NON</v>
      </c>
    </row>
    <row r="17" spans="1:11" s="254" customFormat="1" ht="22.5" customHeight="1" x14ac:dyDescent="0.25">
      <c r="B17" s="606" t="s">
        <v>4</v>
      </c>
      <c r="C17" s="607">
        <f t="shared" si="0"/>
        <v>0</v>
      </c>
      <c r="D17" s="601"/>
      <c r="E17" s="608">
        <v>50</v>
      </c>
      <c r="F17" s="585" t="str">
        <f>IF(C17&gt;E17,"OUI","NON")</f>
        <v>NON</v>
      </c>
    </row>
    <row r="18" spans="1:11" s="254" customFormat="1" ht="22.5" customHeight="1" x14ac:dyDescent="0.25">
      <c r="B18" s="606" t="s">
        <v>3</v>
      </c>
      <c r="C18" s="607">
        <f t="shared" si="0"/>
        <v>0</v>
      </c>
      <c r="D18" s="601"/>
      <c r="E18" s="608">
        <v>200</v>
      </c>
      <c r="F18" s="585" t="s">
        <v>1</v>
      </c>
    </row>
    <row r="19" spans="1:11" s="254" customFormat="1" ht="22.5" customHeight="1" x14ac:dyDescent="0.25">
      <c r="B19" s="606" t="s">
        <v>0</v>
      </c>
      <c r="C19" s="607">
        <f t="shared" si="0"/>
        <v>0</v>
      </c>
      <c r="D19" s="601"/>
      <c r="E19" s="608">
        <v>200</v>
      </c>
      <c r="F19" s="585" t="str">
        <f>IF(C19&gt;E19,"OUI","NON")</f>
        <v>NON</v>
      </c>
    </row>
    <row r="20" spans="1:11" s="254" customFormat="1" ht="22.5" customHeight="1" x14ac:dyDescent="0.25">
      <c r="B20" s="609" t="s">
        <v>574</v>
      </c>
      <c r="C20" s="610">
        <f t="shared" si="0"/>
        <v>0</v>
      </c>
      <c r="D20" s="601"/>
      <c r="E20" s="611">
        <v>3000</v>
      </c>
      <c r="F20" s="587" t="str">
        <f>IF(C20&gt;E20,"OUI","NON")</f>
        <v>NON</v>
      </c>
    </row>
    <row r="21" spans="1:11" s="254" customFormat="1" ht="22.5" customHeight="1" x14ac:dyDescent="0.25">
      <c r="B21" s="261"/>
      <c r="C21" s="262"/>
      <c r="D21" s="263"/>
      <c r="E21" s="264"/>
      <c r="F21" s="263"/>
      <c r="G21" s="265"/>
      <c r="H21" s="263"/>
      <c r="I21" s="266"/>
    </row>
    <row r="22" spans="1:11" s="267" customFormat="1" ht="22.5" customHeight="1" x14ac:dyDescent="0.25">
      <c r="B22" s="145" t="s">
        <v>569</v>
      </c>
      <c r="C22" s="262"/>
      <c r="D22" s="268"/>
      <c r="E22" s="269"/>
      <c r="F22" s="268"/>
      <c r="G22" s="270"/>
      <c r="H22" s="268"/>
      <c r="I22" s="269"/>
    </row>
    <row r="23" spans="1:11" s="267" customFormat="1" ht="22.5" customHeight="1" x14ac:dyDescent="0.25">
      <c r="B23" s="262"/>
      <c r="C23" s="262"/>
      <c r="D23" s="268"/>
      <c r="E23" s="269"/>
      <c r="F23" s="268"/>
      <c r="G23" s="270"/>
      <c r="H23" s="263"/>
      <c r="I23" s="266"/>
      <c r="J23" s="561"/>
    </row>
    <row r="24" spans="1:11" ht="52.5" customHeight="1" x14ac:dyDescent="0.25">
      <c r="B24" s="139"/>
      <c r="C24" s="307" t="s">
        <v>570</v>
      </c>
      <c r="D24" s="307" t="s">
        <v>14</v>
      </c>
      <c r="E24" s="307" t="s">
        <v>13</v>
      </c>
      <c r="F24" s="308" t="s">
        <v>331</v>
      </c>
      <c r="G24" s="303"/>
      <c r="H24" s="562"/>
      <c r="I24" s="562"/>
      <c r="J24" s="561"/>
    </row>
    <row r="25" spans="1:11" ht="22.5" customHeight="1" x14ac:dyDescent="0.25">
      <c r="B25" s="312" t="s">
        <v>335</v>
      </c>
      <c r="C25" s="313">
        <f>'Fiche de renseignements'!C12</f>
        <v>0</v>
      </c>
      <c r="D25" s="314">
        <f>C25*0.84</f>
        <v>0</v>
      </c>
      <c r="E25" s="315">
        <f>(4.15*42)/1000</f>
        <v>0.17430000000000001</v>
      </c>
      <c r="F25" s="560">
        <f>IF(ISNUMBER(E25),D25*E25,0)</f>
        <v>0</v>
      </c>
      <c r="G25" s="304"/>
      <c r="H25" s="563"/>
      <c r="J25" s="564"/>
      <c r="K25" s="564"/>
    </row>
    <row r="26" spans="1:11" ht="22.5" customHeight="1" x14ac:dyDescent="0.25">
      <c r="B26" s="316" t="s">
        <v>336</v>
      </c>
      <c r="C26" s="317">
        <f>$C$25</f>
        <v>0</v>
      </c>
      <c r="D26" s="318">
        <f>C26*0.84</f>
        <v>0</v>
      </c>
      <c r="E26" s="319">
        <f>75*42</f>
        <v>3150</v>
      </c>
      <c r="F26" s="321">
        <f t="shared" ref="F26:F37" si="1">IF(ISNUMBER(E26),D26*E26,0)</f>
        <v>0</v>
      </c>
      <c r="G26" s="304"/>
      <c r="H26" s="563"/>
      <c r="I26" s="410"/>
      <c r="J26" s="564"/>
      <c r="K26" s="564"/>
    </row>
    <row r="27" spans="1:11" ht="22.5" customHeight="1" x14ac:dyDescent="0.25">
      <c r="A27" s="271"/>
      <c r="B27" s="316" t="s">
        <v>10</v>
      </c>
      <c r="C27" s="317">
        <f t="shared" ref="C27:C29" si="2">$C$25</f>
        <v>0</v>
      </c>
      <c r="D27" s="318">
        <f>C27*0.84</f>
        <v>0</v>
      </c>
      <c r="E27" s="320">
        <f>675*42/1000</f>
        <v>28.35</v>
      </c>
      <c r="F27" s="321">
        <f t="shared" si="1"/>
        <v>0</v>
      </c>
      <c r="G27" s="304"/>
      <c r="H27" s="563"/>
      <c r="J27" s="564"/>
      <c r="K27" s="564"/>
    </row>
    <row r="28" spans="1:11" ht="22.5" customHeight="1" x14ac:dyDescent="0.25">
      <c r="A28" s="271"/>
      <c r="B28" s="316" t="s">
        <v>337</v>
      </c>
      <c r="C28" s="317">
        <f t="shared" si="2"/>
        <v>0</v>
      </c>
      <c r="D28" s="318">
        <f>C28*0.84</f>
        <v>0</v>
      </c>
      <c r="E28" s="319">
        <f>1.162*42</f>
        <v>48.803999999999995</v>
      </c>
      <c r="F28" s="321">
        <f t="shared" si="1"/>
        <v>0</v>
      </c>
      <c r="G28" s="304"/>
      <c r="H28" s="563"/>
      <c r="J28" s="564"/>
      <c r="K28" s="564"/>
    </row>
    <row r="29" spans="1:11" ht="22.5" customHeight="1" x14ac:dyDescent="0.25">
      <c r="A29" s="271"/>
      <c r="B29" s="316" t="s">
        <v>338</v>
      </c>
      <c r="C29" s="317">
        <f t="shared" si="2"/>
        <v>0</v>
      </c>
      <c r="D29" s="318">
        <f>C29*0.84</f>
        <v>0</v>
      </c>
      <c r="E29" s="320">
        <f>20/1000</f>
        <v>0.02</v>
      </c>
      <c r="F29" s="321">
        <f t="shared" si="1"/>
        <v>0</v>
      </c>
      <c r="G29" s="304"/>
      <c r="H29" s="563"/>
      <c r="I29" s="410"/>
      <c r="J29" s="561"/>
    </row>
    <row r="30" spans="1:11" ht="22.5" customHeight="1" x14ac:dyDescent="0.25">
      <c r="A30" s="271"/>
      <c r="B30" s="316" t="s">
        <v>9</v>
      </c>
      <c r="C30" s="317" t="s">
        <v>1</v>
      </c>
      <c r="D30" s="318" t="s">
        <v>1</v>
      </c>
      <c r="E30" s="322" t="s">
        <v>2</v>
      </c>
      <c r="F30" s="321">
        <f t="shared" si="1"/>
        <v>0</v>
      </c>
      <c r="G30" s="304"/>
      <c r="H30" s="563"/>
      <c r="I30" s="410"/>
      <c r="J30" s="561"/>
    </row>
    <row r="31" spans="1:11" ht="22.5" customHeight="1" x14ac:dyDescent="0.25">
      <c r="A31" s="271"/>
      <c r="B31" s="316" t="s">
        <v>8</v>
      </c>
      <c r="C31" s="317" t="s">
        <v>1</v>
      </c>
      <c r="D31" s="318" t="s">
        <v>1</v>
      </c>
      <c r="E31" s="323" t="s">
        <v>2</v>
      </c>
      <c r="F31" s="321">
        <f t="shared" si="1"/>
        <v>0</v>
      </c>
      <c r="G31" s="304"/>
      <c r="H31" s="563"/>
      <c r="I31" s="410"/>
      <c r="J31" s="561"/>
    </row>
    <row r="32" spans="1:11" ht="22.5" customHeight="1" x14ac:dyDescent="0.25">
      <c r="A32" s="271"/>
      <c r="B32" s="316" t="s">
        <v>7</v>
      </c>
      <c r="C32" s="317">
        <f t="shared" ref="C32:C35" si="3">$C$25</f>
        <v>0</v>
      </c>
      <c r="D32" s="318">
        <f>C32*0.84</f>
        <v>0</v>
      </c>
      <c r="E32" s="320">
        <f>0.01/1000</f>
        <v>1.0000000000000001E-5</v>
      </c>
      <c r="F32" s="321">
        <f t="shared" si="1"/>
        <v>0</v>
      </c>
      <c r="G32" s="304"/>
      <c r="H32" s="563"/>
      <c r="I32" s="410"/>
      <c r="J32" s="561"/>
    </row>
    <row r="33" spans="1:10" ht="22.5" customHeight="1" x14ac:dyDescent="0.25">
      <c r="A33" s="271"/>
      <c r="B33" s="316" t="s">
        <v>6</v>
      </c>
      <c r="C33" s="317">
        <f t="shared" si="3"/>
        <v>0</v>
      </c>
      <c r="D33" s="318">
        <f>C33*0.84</f>
        <v>0</v>
      </c>
      <c r="E33" s="320">
        <f>0.05/1000</f>
        <v>5.0000000000000002E-5</v>
      </c>
      <c r="F33" s="321">
        <f t="shared" si="1"/>
        <v>0</v>
      </c>
      <c r="G33" s="304"/>
      <c r="H33" s="563"/>
      <c r="I33" s="410"/>
      <c r="J33" s="561"/>
    </row>
    <row r="34" spans="1:10" ht="22.5" customHeight="1" x14ac:dyDescent="0.25">
      <c r="B34" s="316" t="s">
        <v>5</v>
      </c>
      <c r="C34" s="317">
        <f t="shared" si="3"/>
        <v>0</v>
      </c>
      <c r="D34" s="318">
        <f>C34*0.84</f>
        <v>0</v>
      </c>
      <c r="E34" s="320">
        <f>1.7/1000</f>
        <v>1.6999999999999999E-3</v>
      </c>
      <c r="F34" s="321">
        <f t="shared" si="1"/>
        <v>0</v>
      </c>
      <c r="G34" s="304"/>
      <c r="H34" s="563"/>
      <c r="I34" s="410"/>
      <c r="J34" s="561"/>
    </row>
    <row r="35" spans="1:10" ht="22.5" customHeight="1" x14ac:dyDescent="0.25">
      <c r="B35" s="316" t="s">
        <v>4</v>
      </c>
      <c r="C35" s="317">
        <f t="shared" si="3"/>
        <v>0</v>
      </c>
      <c r="D35" s="318">
        <f>C35*0.84</f>
        <v>0</v>
      </c>
      <c r="E35" s="320">
        <f>0.07/1000</f>
        <v>7.0000000000000007E-5</v>
      </c>
      <c r="F35" s="321">
        <f t="shared" si="1"/>
        <v>0</v>
      </c>
      <c r="G35" s="304"/>
      <c r="H35" s="563"/>
      <c r="I35" s="410"/>
      <c r="J35" s="561"/>
    </row>
    <row r="36" spans="1:10" ht="22.5" customHeight="1" x14ac:dyDescent="0.25">
      <c r="B36" s="316" t="s">
        <v>3</v>
      </c>
      <c r="C36" s="317" t="s">
        <v>1</v>
      </c>
      <c r="D36" s="318" t="s">
        <v>1</v>
      </c>
      <c r="E36" s="322" t="s">
        <v>2</v>
      </c>
      <c r="F36" s="321">
        <f t="shared" si="1"/>
        <v>0</v>
      </c>
      <c r="G36" s="304"/>
      <c r="H36" s="563"/>
      <c r="I36" s="410"/>
      <c r="J36" s="561"/>
    </row>
    <row r="37" spans="1:10" ht="22.5" customHeight="1" x14ac:dyDescent="0.25">
      <c r="B37" s="324" t="s">
        <v>0</v>
      </c>
      <c r="C37" s="325">
        <f>$C$25</f>
        <v>0</v>
      </c>
      <c r="D37" s="326">
        <f>C37*0.84</f>
        <v>0</v>
      </c>
      <c r="E37" s="327">
        <f>1/1000</f>
        <v>1E-3</v>
      </c>
      <c r="F37" s="328">
        <f t="shared" si="1"/>
        <v>0</v>
      </c>
      <c r="G37" s="304"/>
      <c r="H37" s="563"/>
      <c r="I37" s="410"/>
      <c r="J37" s="561"/>
    </row>
    <row r="38" spans="1:10" ht="19.5" customHeight="1" x14ac:dyDescent="0.25">
      <c r="H38" s="561"/>
      <c r="I38" s="561"/>
      <c r="J38" s="561"/>
    </row>
    <row r="39" spans="1:10" ht="18" customHeight="1" x14ac:dyDescent="0.25">
      <c r="B39" s="329" t="s">
        <v>582</v>
      </c>
      <c r="C39" s="597"/>
      <c r="D39" s="612"/>
      <c r="E39" s="613"/>
      <c r="F39" s="612"/>
      <c r="H39" s="561"/>
      <c r="I39" s="561"/>
      <c r="J39" s="561"/>
    </row>
    <row r="40" spans="1:10" ht="26.25" customHeight="1" x14ac:dyDescent="0.25">
      <c r="B40" s="329"/>
      <c r="C40" s="597"/>
      <c r="D40" s="612"/>
      <c r="E40" s="613"/>
      <c r="F40" s="612"/>
      <c r="H40" s="561"/>
      <c r="I40" s="561"/>
      <c r="J40" s="561"/>
    </row>
    <row r="41" spans="1:10" ht="54" customHeight="1" x14ac:dyDescent="0.25">
      <c r="B41" s="582"/>
      <c r="C41" s="565" t="s">
        <v>571</v>
      </c>
      <c r="D41" s="565" t="s">
        <v>572</v>
      </c>
      <c r="E41" s="565" t="s">
        <v>13</v>
      </c>
      <c r="F41" s="566" t="s">
        <v>331</v>
      </c>
    </row>
    <row r="42" spans="1:10" ht="23.25" customHeight="1" x14ac:dyDescent="0.25">
      <c r="B42" s="614" t="s">
        <v>573</v>
      </c>
      <c r="C42" s="764" t="s">
        <v>566</v>
      </c>
      <c r="D42" s="765"/>
      <c r="E42" s="765"/>
      <c r="F42" s="766"/>
    </row>
    <row r="43" spans="1:10" ht="23.25" customHeight="1" x14ac:dyDescent="0.25">
      <c r="B43" s="602" t="s">
        <v>577</v>
      </c>
      <c r="C43" s="710">
        <f>D43*1000</f>
        <v>0</v>
      </c>
      <c r="D43" s="603">
        <f>'Fiche de renseignements'!$C$14</f>
        <v>0</v>
      </c>
      <c r="E43" s="615">
        <v>2.1</v>
      </c>
      <c r="F43" s="616">
        <f>IF(ISNUMBER(E43),D43*E43,0)</f>
        <v>0</v>
      </c>
      <c r="J43" s="564"/>
    </row>
    <row r="44" spans="1:10" ht="23.25" customHeight="1" x14ac:dyDescent="0.25">
      <c r="B44" s="617" t="s">
        <v>576</v>
      </c>
      <c r="C44" s="711">
        <f t="shared" ref="C44:C48" si="4">D44*1000</f>
        <v>0</v>
      </c>
      <c r="D44" s="607">
        <f>'Fiche de renseignements'!$C$14</f>
        <v>0</v>
      </c>
      <c r="E44" s="620" t="s">
        <v>2</v>
      </c>
      <c r="F44" s="607">
        <f>IF(ISNUMBER(E44),D44*E44,0)</f>
        <v>0</v>
      </c>
      <c r="J44" s="564"/>
    </row>
    <row r="45" spans="1:10" ht="23.25" customHeight="1" x14ac:dyDescent="0.25">
      <c r="B45" s="606" t="s">
        <v>10</v>
      </c>
      <c r="C45" s="711">
        <f t="shared" si="4"/>
        <v>0</v>
      </c>
      <c r="D45" s="607">
        <f>'Fiche de renseignements'!$C$14</f>
        <v>0</v>
      </c>
      <c r="E45" s="619">
        <v>85</v>
      </c>
      <c r="F45" s="607">
        <f t="shared" ref="F45:F48" si="5">IF(ISNUMBER(E45),D45*E45,0)</f>
        <v>0</v>
      </c>
      <c r="J45" s="564"/>
    </row>
    <row r="46" spans="1:10" ht="23.25" customHeight="1" x14ac:dyDescent="0.25">
      <c r="B46" s="606" t="s">
        <v>579</v>
      </c>
      <c r="C46" s="711">
        <f t="shared" si="4"/>
        <v>0</v>
      </c>
      <c r="D46" s="607">
        <f>'Fiche de renseignements'!$C$14</f>
        <v>0</v>
      </c>
      <c r="E46" s="620" t="s">
        <v>2</v>
      </c>
      <c r="F46" s="621">
        <f t="shared" si="5"/>
        <v>0</v>
      </c>
      <c r="J46" s="564"/>
    </row>
    <row r="47" spans="1:10" ht="23.25" customHeight="1" x14ac:dyDescent="0.25">
      <c r="B47" s="606" t="s">
        <v>580</v>
      </c>
      <c r="C47" s="711">
        <f t="shared" si="4"/>
        <v>0</v>
      </c>
      <c r="D47" s="607">
        <f>'Fiche de renseignements'!$C$14</f>
        <v>0</v>
      </c>
      <c r="E47" s="620" t="s">
        <v>2</v>
      </c>
      <c r="F47" s="622">
        <f t="shared" si="5"/>
        <v>0</v>
      </c>
      <c r="J47" s="564"/>
    </row>
    <row r="48" spans="1:10" ht="23.25" customHeight="1" x14ac:dyDescent="0.25">
      <c r="B48" s="609" t="s">
        <v>574</v>
      </c>
      <c r="C48" s="711">
        <f t="shared" si="4"/>
        <v>0</v>
      </c>
      <c r="D48" s="607">
        <f>'Fiche de renseignements'!$C$14</f>
        <v>0</v>
      </c>
      <c r="E48" s="623">
        <v>12</v>
      </c>
      <c r="F48" s="610">
        <f t="shared" si="5"/>
        <v>0</v>
      </c>
      <c r="J48" s="564"/>
    </row>
    <row r="49" spans="2:10" ht="23.25" customHeight="1" x14ac:dyDescent="0.25">
      <c r="B49" s="614" t="s">
        <v>573</v>
      </c>
      <c r="C49" s="764" t="s">
        <v>575</v>
      </c>
      <c r="D49" s="765"/>
      <c r="E49" s="765"/>
      <c r="F49" s="766"/>
    </row>
    <row r="50" spans="2:10" ht="23.25" customHeight="1" x14ac:dyDescent="0.25">
      <c r="B50" s="602" t="s">
        <v>577</v>
      </c>
      <c r="C50" s="710">
        <f>D50*1000</f>
        <v>0</v>
      </c>
      <c r="D50" s="603">
        <f>'Fiche de renseignements'!$C$15</f>
        <v>0</v>
      </c>
      <c r="E50" s="615">
        <v>0.7</v>
      </c>
      <c r="F50" s="616">
        <f>IF(ISNUMBER(E50),D50*E50,0)</f>
        <v>0</v>
      </c>
      <c r="J50" s="564"/>
    </row>
    <row r="51" spans="2:10" ht="23.25" customHeight="1" x14ac:dyDescent="0.25">
      <c r="B51" s="617" t="s">
        <v>576</v>
      </c>
      <c r="C51" s="711">
        <f t="shared" ref="C51:C55" si="6">D51*1000</f>
        <v>0</v>
      </c>
      <c r="D51" s="607">
        <f>'Fiche de renseignements'!$C$15</f>
        <v>0</v>
      </c>
      <c r="E51" s="618">
        <v>676</v>
      </c>
      <c r="F51" s="607">
        <f>IF(ISNUMBER(E51),D51*E51,0)</f>
        <v>0</v>
      </c>
      <c r="J51" s="564"/>
    </row>
    <row r="52" spans="2:10" ht="23.25" customHeight="1" x14ac:dyDescent="0.25">
      <c r="B52" s="606" t="s">
        <v>10</v>
      </c>
      <c r="C52" s="711">
        <f t="shared" si="6"/>
        <v>0</v>
      </c>
      <c r="D52" s="607">
        <f>'Fiche de renseignements'!$C$15</f>
        <v>0</v>
      </c>
      <c r="E52" s="619">
        <v>32</v>
      </c>
      <c r="F52" s="607">
        <f t="shared" ref="F52:F55" si="7">IF(ISNUMBER(E52),D52*E52,0)</f>
        <v>0</v>
      </c>
      <c r="J52" s="564"/>
    </row>
    <row r="53" spans="2:10" ht="23.25" customHeight="1" x14ac:dyDescent="0.25">
      <c r="B53" s="606" t="s">
        <v>579</v>
      </c>
      <c r="C53" s="711">
        <f t="shared" si="6"/>
        <v>0</v>
      </c>
      <c r="D53" s="607">
        <f>'Fiche de renseignements'!$C$15</f>
        <v>0</v>
      </c>
      <c r="E53" s="620" t="s">
        <v>2</v>
      </c>
      <c r="F53" s="621">
        <f t="shared" si="7"/>
        <v>0</v>
      </c>
      <c r="J53" s="564"/>
    </row>
    <row r="54" spans="2:10" ht="23.25" customHeight="1" x14ac:dyDescent="0.25">
      <c r="B54" s="606" t="s">
        <v>580</v>
      </c>
      <c r="C54" s="711">
        <f t="shared" si="6"/>
        <v>0</v>
      </c>
      <c r="D54" s="607">
        <f>'Fiche de renseignements'!$C$15</f>
        <v>0</v>
      </c>
      <c r="E54" s="620" t="s">
        <v>2</v>
      </c>
      <c r="F54" s="622">
        <f t="shared" si="7"/>
        <v>0</v>
      </c>
      <c r="J54" s="564"/>
    </row>
    <row r="55" spans="2:10" ht="23.25" customHeight="1" x14ac:dyDescent="0.25">
      <c r="B55" s="609" t="s">
        <v>574</v>
      </c>
      <c r="C55" s="711">
        <f t="shared" si="6"/>
        <v>0</v>
      </c>
      <c r="D55" s="607">
        <f>'Fiche de renseignements'!$C$15</f>
        <v>0</v>
      </c>
      <c r="E55" s="623">
        <v>16</v>
      </c>
      <c r="F55" s="610">
        <f t="shared" si="7"/>
        <v>0</v>
      </c>
      <c r="J55" s="564"/>
    </row>
    <row r="56" spans="2:10" ht="23.25" customHeight="1" x14ac:dyDescent="0.25">
      <c r="B56" s="614" t="s">
        <v>573</v>
      </c>
      <c r="C56" s="764" t="s">
        <v>603</v>
      </c>
      <c r="D56" s="765"/>
      <c r="E56" s="765"/>
      <c r="F56" s="766"/>
    </row>
    <row r="57" spans="2:10" ht="23.25" customHeight="1" x14ac:dyDescent="0.25">
      <c r="B57" s="602" t="s">
        <v>577</v>
      </c>
      <c r="C57" s="710">
        <f>D57*1000</f>
        <v>0</v>
      </c>
      <c r="D57" s="603">
        <f>'Fiche de renseignements'!$C$16</f>
        <v>0</v>
      </c>
      <c r="E57" s="615">
        <v>0.3</v>
      </c>
      <c r="F57" s="616">
        <f>IF(ISNUMBER(E57),D57*E57,0)</f>
        <v>0</v>
      </c>
      <c r="J57" s="564"/>
    </row>
    <row r="58" spans="2:10" ht="23.25" customHeight="1" x14ac:dyDescent="0.25">
      <c r="B58" s="617" t="s">
        <v>576</v>
      </c>
      <c r="C58" s="711">
        <f t="shared" ref="C58:C69" si="8">D58*1000</f>
        <v>0</v>
      </c>
      <c r="D58" s="607">
        <f>'Fiche de renseignements'!$C$16</f>
        <v>0</v>
      </c>
      <c r="E58" s="618">
        <v>676</v>
      </c>
      <c r="F58" s="607">
        <f>IF(ISNUMBER(E58),D58*E58,0)</f>
        <v>0</v>
      </c>
      <c r="J58" s="564"/>
    </row>
    <row r="59" spans="2:10" ht="23.25" customHeight="1" x14ac:dyDescent="0.25">
      <c r="B59" s="606" t="s">
        <v>10</v>
      </c>
      <c r="C59" s="711">
        <f t="shared" si="8"/>
        <v>0</v>
      </c>
      <c r="D59" s="607">
        <f>'Fiche de renseignements'!$C$16</f>
        <v>0</v>
      </c>
      <c r="E59" s="619">
        <v>52</v>
      </c>
      <c r="F59" s="607">
        <f t="shared" ref="F59:F62" si="9">IF(ISNUMBER(E59),D59*E59,0)</f>
        <v>0</v>
      </c>
      <c r="J59" s="564"/>
    </row>
    <row r="60" spans="2:10" ht="23.25" customHeight="1" x14ac:dyDescent="0.25">
      <c r="B60" s="606" t="s">
        <v>579</v>
      </c>
      <c r="C60" s="711">
        <f t="shared" si="8"/>
        <v>0</v>
      </c>
      <c r="D60" s="607">
        <f>'Fiche de renseignements'!$C$16</f>
        <v>0</v>
      </c>
      <c r="E60" s="620">
        <v>26</v>
      </c>
      <c r="F60" s="621">
        <f t="shared" si="9"/>
        <v>0</v>
      </c>
      <c r="J60" s="564"/>
    </row>
    <row r="61" spans="2:10" ht="23.25" customHeight="1" x14ac:dyDescent="0.25">
      <c r="B61" s="606" t="s">
        <v>580</v>
      </c>
      <c r="C61" s="711">
        <f t="shared" si="8"/>
        <v>0</v>
      </c>
      <c r="D61" s="607">
        <f>'Fiche de renseignements'!$C$16</f>
        <v>0</v>
      </c>
      <c r="E61" s="620">
        <v>1</v>
      </c>
      <c r="F61" s="622">
        <f t="shared" si="9"/>
        <v>0</v>
      </c>
      <c r="J61" s="564"/>
    </row>
    <row r="62" spans="2:10" ht="23.25" customHeight="1" x14ac:dyDescent="0.25">
      <c r="B62" s="609" t="s">
        <v>574</v>
      </c>
      <c r="C62" s="711">
        <f t="shared" si="8"/>
        <v>0</v>
      </c>
      <c r="D62" s="607">
        <f>'Fiche de renseignements'!$C$16</f>
        <v>0</v>
      </c>
      <c r="E62" s="623">
        <v>2</v>
      </c>
      <c r="F62" s="610">
        <f t="shared" si="9"/>
        <v>0</v>
      </c>
      <c r="J62" s="564"/>
    </row>
    <row r="63" spans="2:10" ht="23.25" customHeight="1" x14ac:dyDescent="0.25">
      <c r="B63" s="614" t="s">
        <v>573</v>
      </c>
      <c r="C63" s="764" t="s">
        <v>568</v>
      </c>
      <c r="D63" s="765"/>
      <c r="E63" s="765"/>
      <c r="F63" s="766"/>
    </row>
    <row r="64" spans="2:10" ht="23.25" customHeight="1" x14ac:dyDescent="0.25">
      <c r="B64" s="602" t="s">
        <v>577</v>
      </c>
      <c r="C64" s="710">
        <f>D64*1000</f>
        <v>0</v>
      </c>
      <c r="D64" s="603">
        <f>'Fiche de renseignements'!$C$17</f>
        <v>0</v>
      </c>
      <c r="E64" s="624" t="s">
        <v>2</v>
      </c>
      <c r="F64" s="616">
        <f>IF(ISNUMBER(E64),D64*E64,0)</f>
        <v>0</v>
      </c>
      <c r="J64" s="564"/>
    </row>
    <row r="65" spans="2:10" ht="23.25" customHeight="1" x14ac:dyDescent="0.25">
      <c r="B65" s="617" t="s">
        <v>576</v>
      </c>
      <c r="C65" s="711">
        <f t="shared" si="8"/>
        <v>0</v>
      </c>
      <c r="D65" s="607">
        <f>'Fiche de renseignements'!$C$17</f>
        <v>0</v>
      </c>
      <c r="E65" s="618">
        <v>339</v>
      </c>
      <c r="F65" s="607">
        <f>IF(ISNUMBER(E65),D65*E65,0)</f>
        <v>0</v>
      </c>
      <c r="J65" s="564"/>
    </row>
    <row r="66" spans="2:10" ht="23.25" customHeight="1" x14ac:dyDescent="0.25">
      <c r="B66" s="606" t="s">
        <v>10</v>
      </c>
      <c r="C66" s="711">
        <f t="shared" si="8"/>
        <v>0</v>
      </c>
      <c r="D66" s="607">
        <f>'Fiche de renseignements'!$C$17</f>
        <v>0</v>
      </c>
      <c r="E66" s="619">
        <v>34</v>
      </c>
      <c r="F66" s="607">
        <f t="shared" ref="F66:F69" si="10">IF(ISNUMBER(E66),D66*E66,0)</f>
        <v>0</v>
      </c>
      <c r="J66" s="564"/>
    </row>
    <row r="67" spans="2:10" ht="23.25" customHeight="1" x14ac:dyDescent="0.25">
      <c r="B67" s="606" t="s">
        <v>579</v>
      </c>
      <c r="C67" s="711">
        <f t="shared" si="8"/>
        <v>0</v>
      </c>
      <c r="D67" s="607">
        <f>'Fiche de renseignements'!$C$17</f>
        <v>0</v>
      </c>
      <c r="E67" s="620">
        <v>8</v>
      </c>
      <c r="F67" s="621">
        <f t="shared" si="10"/>
        <v>0</v>
      </c>
      <c r="J67" s="564"/>
    </row>
    <row r="68" spans="2:10" ht="23.25" customHeight="1" x14ac:dyDescent="0.25">
      <c r="B68" s="606" t="s">
        <v>580</v>
      </c>
      <c r="C68" s="711">
        <f t="shared" si="8"/>
        <v>0</v>
      </c>
      <c r="D68" s="607">
        <f>'Fiche de renseignements'!$C$17</f>
        <v>0</v>
      </c>
      <c r="E68" s="619">
        <v>1</v>
      </c>
      <c r="F68" s="622">
        <f t="shared" si="10"/>
        <v>0</v>
      </c>
      <c r="J68" s="564"/>
    </row>
    <row r="69" spans="2:10" ht="23.25" customHeight="1" x14ac:dyDescent="0.25">
      <c r="B69" s="609" t="s">
        <v>574</v>
      </c>
      <c r="C69" s="712">
        <f t="shared" si="8"/>
        <v>0</v>
      </c>
      <c r="D69" s="610">
        <f>'Fiche de renseignements'!$C$17</f>
        <v>0</v>
      </c>
      <c r="E69" s="623" t="s">
        <v>2</v>
      </c>
      <c r="F69" s="610">
        <f t="shared" si="10"/>
        <v>0</v>
      </c>
      <c r="J69" s="564"/>
    </row>
    <row r="70" spans="2:10" x14ac:dyDescent="0.25">
      <c r="H70" s="568"/>
    </row>
    <row r="71" spans="2:10" x14ac:dyDescent="0.25">
      <c r="H71" s="568"/>
    </row>
    <row r="72" spans="2:10" ht="15.75" x14ac:dyDescent="0.25">
      <c r="H72" s="569"/>
      <c r="J72" s="564"/>
    </row>
    <row r="73" spans="2:10" ht="15.75" x14ac:dyDescent="0.25">
      <c r="H73" s="569"/>
      <c r="J73" s="564"/>
    </row>
    <row r="74" spans="2:10" ht="15.75" x14ac:dyDescent="0.25">
      <c r="H74" s="569"/>
      <c r="J74" s="564"/>
    </row>
    <row r="75" spans="2:10" ht="15.75" x14ac:dyDescent="0.25">
      <c r="H75" s="569"/>
      <c r="J75" s="564"/>
    </row>
    <row r="76" spans="2:10" ht="15.75" x14ac:dyDescent="0.25">
      <c r="H76" s="569"/>
      <c r="J76" s="564"/>
    </row>
    <row r="77" spans="2:10" x14ac:dyDescent="0.25">
      <c r="H77" s="568"/>
    </row>
    <row r="78" spans="2:10" x14ac:dyDescent="0.25">
      <c r="H78" s="568"/>
    </row>
  </sheetData>
  <sheetProtection algorithmName="SHA-512" hashValue="FxvT0+uBA3CNR55DT8/gbbGWXPaWHL8n9y0YppMDbaJmJFZoMLiFPCwyBBXaPuDvJtrlk2INccT+UdqwXAtKpQ==" saltValue="FzyYYoB9wVarY8oH4o6nBQ==" spinCount="100000" sheet="1" selectLockedCells="1"/>
  <mergeCells count="4">
    <mergeCell ref="C42:F42"/>
    <mergeCell ref="C49:F49"/>
    <mergeCell ref="C56:F56"/>
    <mergeCell ref="C63:F63"/>
  </mergeCells>
  <conditionalFormatting sqref="G27">
    <cfRule type="cellIs" dxfId="23" priority="23" stopIfTrue="1" operator="greaterThan">
      <formula>I27</formula>
    </cfRule>
  </conditionalFormatting>
  <conditionalFormatting sqref="G28">
    <cfRule type="cellIs" dxfId="22" priority="22" stopIfTrue="1" operator="greaterThan">
      <formula>I28</formula>
    </cfRule>
  </conditionalFormatting>
  <conditionalFormatting sqref="G26">
    <cfRule type="cellIs" dxfId="21" priority="21" stopIfTrue="1" operator="greaterThan">
      <formula>I26</formula>
    </cfRule>
  </conditionalFormatting>
  <conditionalFormatting sqref="F43">
    <cfRule type="expression" dxfId="20" priority="20">
      <formula>F43=0</formula>
    </cfRule>
  </conditionalFormatting>
  <conditionalFormatting sqref="F45:F48">
    <cfRule type="expression" dxfId="19" priority="19">
      <formula>F45=0</formula>
    </cfRule>
  </conditionalFormatting>
  <conditionalFormatting sqref="F26:F37">
    <cfRule type="expression" dxfId="18" priority="14">
      <formula>F26=0</formula>
    </cfRule>
  </conditionalFormatting>
  <conditionalFormatting sqref="C7:C20">
    <cfRule type="expression" dxfId="17" priority="13">
      <formula>C7=0</formula>
    </cfRule>
  </conditionalFormatting>
  <conditionalFormatting sqref="F25">
    <cfRule type="expression" dxfId="16" priority="15">
      <formula>F25=0</formula>
    </cfRule>
  </conditionalFormatting>
  <conditionalFormatting sqref="F50">
    <cfRule type="expression" dxfId="15" priority="10">
      <formula>F50=0</formula>
    </cfRule>
  </conditionalFormatting>
  <conditionalFormatting sqref="F52:F55">
    <cfRule type="expression" dxfId="14" priority="9">
      <formula>F52=0</formula>
    </cfRule>
  </conditionalFormatting>
  <conditionalFormatting sqref="F57">
    <cfRule type="expression" dxfId="13" priority="8">
      <formula>F57=0</formula>
    </cfRule>
  </conditionalFormatting>
  <conditionalFormatting sqref="F59:F62">
    <cfRule type="expression" dxfId="12" priority="7">
      <formula>F59=0</formula>
    </cfRule>
  </conditionalFormatting>
  <conditionalFormatting sqref="F64">
    <cfRule type="expression" dxfId="11" priority="6">
      <formula>F64=0</formula>
    </cfRule>
  </conditionalFormatting>
  <conditionalFormatting sqref="F66:F69">
    <cfRule type="expression" dxfId="10" priority="5">
      <formula>F66=0</formula>
    </cfRule>
  </conditionalFormatting>
  <conditionalFormatting sqref="F44">
    <cfRule type="expression" dxfId="9" priority="4">
      <formula>F44=0</formula>
    </cfRule>
  </conditionalFormatting>
  <conditionalFormatting sqref="F51">
    <cfRule type="expression" dxfId="8" priority="3">
      <formula>F51=0</formula>
    </cfRule>
  </conditionalFormatting>
  <conditionalFormatting sqref="F58">
    <cfRule type="expression" dxfId="7" priority="2">
      <formula>F58=0</formula>
    </cfRule>
  </conditionalFormatting>
  <conditionalFormatting sqref="F65">
    <cfRule type="expression" dxfId="6" priority="1">
      <formula>F65=0</formula>
    </cfRule>
  </conditionalFormatting>
  <printOptions horizontalCentered="1" verticalCentered="1"/>
  <pageMargins left="0.70866141732283472" right="0.70866141732283472" top="0.74803149606299213" bottom="0.74803149606299213" header="0.31496062992125984" footer="0.31496062992125984"/>
  <pageSetup paperSize="9" scale="6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2:T77"/>
  <sheetViews>
    <sheetView showGridLines="0" zoomScale="70" zoomScaleNormal="70" workbookViewId="0">
      <selection activeCell="E43" sqref="E43"/>
    </sheetView>
  </sheetViews>
  <sheetFormatPr baseColWidth="10" defaultColWidth="11.42578125" defaultRowHeight="14.25" x14ac:dyDescent="0.25"/>
  <cols>
    <col min="1" max="1" width="6.5703125" style="3" customWidth="1"/>
    <col min="2" max="2" width="64.140625" style="3" customWidth="1"/>
    <col min="3" max="5" width="37.5703125" style="3" customWidth="1"/>
    <col min="6" max="6" width="13" style="3" customWidth="1"/>
    <col min="7" max="7" width="11.42578125" style="3"/>
    <col min="8" max="9" width="10.7109375" style="3" customWidth="1"/>
    <col min="10" max="10" width="25" style="3" customWidth="1"/>
    <col min="11" max="11" width="36" style="3" customWidth="1"/>
    <col min="12" max="16384" width="11.42578125" style="3"/>
  </cols>
  <sheetData>
    <row r="2" spans="2:6" ht="93" customHeight="1" x14ac:dyDescent="0.25">
      <c r="C2"/>
    </row>
    <row r="3" spans="2:6" ht="42.75" customHeight="1" x14ac:dyDescent="0.25">
      <c r="B3" s="2" t="s">
        <v>38</v>
      </c>
    </row>
    <row r="4" spans="2:6" ht="17.25" customHeight="1" x14ac:dyDescent="0.25">
      <c r="B4" s="2"/>
    </row>
    <row r="5" spans="2:6" ht="24.75" customHeight="1" x14ac:dyDescent="0.25">
      <c r="B5" s="769" t="s">
        <v>74</v>
      </c>
      <c r="C5" s="769" t="s">
        <v>39</v>
      </c>
      <c r="D5" s="404"/>
      <c r="E5" s="11"/>
      <c r="F5" s="11"/>
    </row>
    <row r="6" spans="2:6" ht="24.75" customHeight="1" x14ac:dyDescent="0.25">
      <c r="B6" s="767" t="s">
        <v>75</v>
      </c>
      <c r="C6" s="767" t="s">
        <v>39</v>
      </c>
      <c r="D6" s="13" t="s">
        <v>39</v>
      </c>
      <c r="E6" s="11"/>
      <c r="F6" s="11"/>
    </row>
    <row r="7" spans="2:6" ht="24.75" customHeight="1" x14ac:dyDescent="0.25">
      <c r="B7" s="767" t="s">
        <v>299</v>
      </c>
      <c r="C7" s="767"/>
      <c r="D7" s="13"/>
      <c r="E7" s="11"/>
      <c r="F7" s="11"/>
    </row>
    <row r="8" spans="2:6" ht="24.75" customHeight="1" x14ac:dyDescent="0.25">
      <c r="B8" s="767" t="s">
        <v>140</v>
      </c>
      <c r="C8" s="767" t="s">
        <v>39</v>
      </c>
      <c r="D8" s="13" t="s">
        <v>39</v>
      </c>
      <c r="E8" s="11"/>
      <c r="F8" s="11"/>
    </row>
    <row r="9" spans="2:6" ht="24.75" customHeight="1" x14ac:dyDescent="0.25">
      <c r="B9" s="767" t="s">
        <v>77</v>
      </c>
      <c r="C9" s="767" t="s">
        <v>39</v>
      </c>
      <c r="D9" s="13" t="s">
        <v>39</v>
      </c>
      <c r="E9" s="11"/>
      <c r="F9" s="11"/>
    </row>
    <row r="10" spans="2:6" ht="24.75" customHeight="1" x14ac:dyDescent="0.25">
      <c r="B10" s="767" t="s">
        <v>84</v>
      </c>
      <c r="C10" s="767" t="s">
        <v>39</v>
      </c>
      <c r="D10" s="13"/>
      <c r="E10" s="11"/>
      <c r="F10" s="11"/>
    </row>
    <row r="11" spans="2:6" ht="24.75" customHeight="1" x14ac:dyDescent="0.25">
      <c r="B11" s="767" t="s">
        <v>78</v>
      </c>
      <c r="C11" s="767" t="s">
        <v>39</v>
      </c>
      <c r="D11" s="13" t="s">
        <v>39</v>
      </c>
      <c r="E11" s="11"/>
      <c r="F11" s="11"/>
    </row>
    <row r="12" spans="2:6" ht="24.75" customHeight="1" x14ac:dyDescent="0.25">
      <c r="B12" s="767" t="s">
        <v>79</v>
      </c>
      <c r="C12" s="767" t="s">
        <v>39</v>
      </c>
      <c r="D12" s="13" t="s">
        <v>39</v>
      </c>
      <c r="E12" s="11"/>
      <c r="F12" s="11"/>
    </row>
    <row r="13" spans="2:6" ht="24.75" customHeight="1" x14ac:dyDescent="0.25">
      <c r="B13" s="767" t="s">
        <v>80</v>
      </c>
      <c r="C13" s="767" t="s">
        <v>39</v>
      </c>
      <c r="D13" s="13" t="s">
        <v>39</v>
      </c>
      <c r="E13" s="11"/>
      <c r="F13" s="11"/>
    </row>
    <row r="14" spans="2:6" ht="24.75" customHeight="1" x14ac:dyDescent="0.2">
      <c r="B14" s="768" t="s">
        <v>85</v>
      </c>
      <c r="C14" s="768" t="s">
        <v>39</v>
      </c>
      <c r="D14" s="71"/>
      <c r="E14" s="11"/>
      <c r="F14" s="11"/>
    </row>
    <row r="15" spans="2:6" ht="19.5" customHeight="1" x14ac:dyDescent="0.25">
      <c r="B15" s="47"/>
      <c r="C15" s="46"/>
      <c r="D15" s="1"/>
      <c r="E15" s="11"/>
      <c r="F15" s="11"/>
    </row>
    <row r="16" spans="2:6" ht="19.5" customHeight="1" x14ac:dyDescent="0.25">
      <c r="B16" s="47"/>
      <c r="C16" s="46"/>
      <c r="D16" s="1"/>
      <c r="E16" s="11"/>
      <c r="F16" s="11"/>
    </row>
    <row r="17" spans="2:10" ht="51.75" customHeight="1" x14ac:dyDescent="0.25">
      <c r="B17" s="17" t="s">
        <v>47</v>
      </c>
      <c r="C17" s="12" t="s">
        <v>325</v>
      </c>
      <c r="D17" s="12" t="s">
        <v>326</v>
      </c>
      <c r="E17" s="12" t="s">
        <v>311</v>
      </c>
      <c r="F17" s="221"/>
      <c r="H17" s="747" t="s">
        <v>389</v>
      </c>
      <c r="I17" s="780"/>
      <c r="J17" s="748"/>
    </row>
    <row r="18" spans="2:10" ht="21" customHeight="1" x14ac:dyDescent="0.2">
      <c r="B18" s="15" t="s">
        <v>15</v>
      </c>
      <c r="C18" s="18">
        <f>C72</f>
        <v>0</v>
      </c>
      <c r="D18" s="18">
        <f>C18*1000</f>
        <v>0</v>
      </c>
      <c r="E18" s="18" t="str">
        <f>F72</f>
        <v>-</v>
      </c>
      <c r="F18" s="165" t="s">
        <v>153</v>
      </c>
      <c r="H18" s="781">
        <f>IF(ISERROR((C57-C52)*1000),"0",(C57-C52)*1000)</f>
        <v>0</v>
      </c>
      <c r="I18" s="782"/>
      <c r="J18" s="783"/>
    </row>
    <row r="19" spans="2:10" ht="21" customHeight="1" x14ac:dyDescent="0.25">
      <c r="B19" s="16" t="s">
        <v>30</v>
      </c>
      <c r="C19" s="19">
        <f>C73</f>
        <v>0</v>
      </c>
      <c r="D19" s="19">
        <f>C19*1000</f>
        <v>0</v>
      </c>
      <c r="E19" s="19" t="str">
        <f>F73</f>
        <v>-</v>
      </c>
      <c r="H19" s="784">
        <f>IF(ISERROR((C58-C53)*1000),"0",(C58-C53)*1000)</f>
        <v>0</v>
      </c>
      <c r="I19" s="785"/>
      <c r="J19" s="786"/>
    </row>
    <row r="20" spans="2:10" ht="21" customHeight="1" x14ac:dyDescent="0.25">
      <c r="B20" s="49"/>
      <c r="C20" s="48"/>
    </row>
    <row r="21" spans="2:10" s="167" customFormat="1" ht="28.5" customHeight="1" x14ac:dyDescent="0.25">
      <c r="B21" s="166" t="s">
        <v>154</v>
      </c>
      <c r="C21" s="168"/>
    </row>
    <row r="22" spans="2:10" s="167" customFormat="1" ht="38.25" customHeight="1" x14ac:dyDescent="0.25">
      <c r="B22" s="787" t="s">
        <v>156</v>
      </c>
      <c r="C22" s="787"/>
      <c r="D22" s="787"/>
      <c r="E22" s="787"/>
    </row>
    <row r="23" spans="2:10" ht="26.25" customHeight="1" x14ac:dyDescent="0.25">
      <c r="B23" s="170" t="s">
        <v>513</v>
      </c>
      <c r="C23" s="48"/>
    </row>
    <row r="24" spans="2:10" ht="27.75" customHeight="1" x14ac:dyDescent="0.25">
      <c r="B24" s="171"/>
      <c r="C24" s="48"/>
    </row>
    <row r="25" spans="2:10" ht="27.75" customHeight="1" x14ac:dyDescent="0.25">
      <c r="B25" s="172"/>
      <c r="C25" s="48"/>
    </row>
    <row r="26" spans="2:10" ht="27.75" customHeight="1" x14ac:dyDescent="0.25">
      <c r="B26" s="172"/>
      <c r="C26" s="48"/>
    </row>
    <row r="27" spans="2:10" ht="21" customHeight="1" x14ac:dyDescent="0.25">
      <c r="B27" s="170" t="s">
        <v>514</v>
      </c>
      <c r="C27" s="48"/>
    </row>
    <row r="28" spans="2:10" ht="28.5" customHeight="1" x14ac:dyDescent="0.25">
      <c r="B28" s="170"/>
      <c r="C28" s="48"/>
    </row>
    <row r="29" spans="2:10" ht="28.5" customHeight="1" x14ac:dyDescent="0.25">
      <c r="B29" s="172"/>
      <c r="C29" s="48"/>
    </row>
    <row r="30" spans="2:10" ht="28.5" customHeight="1" x14ac:dyDescent="0.25">
      <c r="B30" s="172"/>
      <c r="C30" s="48"/>
    </row>
    <row r="31" spans="2:10" ht="90.75" customHeight="1" x14ac:dyDescent="0.25">
      <c r="B31" s="789" t="s">
        <v>588</v>
      </c>
      <c r="C31" s="789"/>
      <c r="D31" s="789"/>
      <c r="E31" s="789"/>
    </row>
    <row r="32" spans="2:10" ht="11.25" customHeight="1" x14ac:dyDescent="0.2">
      <c r="B32" s="70"/>
      <c r="C32" s="48"/>
    </row>
    <row r="33" spans="2:20" ht="33.75" customHeight="1" x14ac:dyDescent="0.2">
      <c r="B33" s="788" t="s">
        <v>157</v>
      </c>
      <c r="C33" s="788"/>
      <c r="D33" s="788"/>
      <c r="E33" s="788"/>
    </row>
    <row r="34" spans="2:20" ht="21" customHeight="1" x14ac:dyDescent="0.2">
      <c r="B34" s="164"/>
      <c r="C34" s="48"/>
    </row>
    <row r="35" spans="2:20" ht="18" x14ac:dyDescent="0.25">
      <c r="B35" s="2" t="s">
        <v>48</v>
      </c>
    </row>
    <row r="36" spans="2:20" ht="15.75" x14ac:dyDescent="0.25">
      <c r="B36" s="4"/>
    </row>
    <row r="37" spans="2:20" ht="15.75" x14ac:dyDescent="0.25">
      <c r="B37" s="9" t="s">
        <v>40</v>
      </c>
      <c r="C37" s="10" t="s">
        <v>41</v>
      </c>
      <c r="D37" s="414" t="s">
        <v>390</v>
      </c>
    </row>
    <row r="38" spans="2:20" ht="22.5" customHeight="1" x14ac:dyDescent="0.25">
      <c r="B38" s="275" t="s">
        <v>313</v>
      </c>
      <c r="C38" s="13" t="s">
        <v>37</v>
      </c>
      <c r="D38" s="158">
        <f>VLOOKUP(B38,'Fiche de renseignements'!$B$63:$D$187,3,FALSE)</f>
        <v>0</v>
      </c>
    </row>
    <row r="39" spans="2:20" ht="21.75" customHeight="1" x14ac:dyDescent="0.25">
      <c r="B39" s="6" t="s">
        <v>44</v>
      </c>
      <c r="C39" s="13" t="s">
        <v>1</v>
      </c>
      <c r="D39" s="158">
        <f>VLOOKUP(B39,'Fiche de renseignements'!$B$63:$D$187,3,FALSE)</f>
        <v>0</v>
      </c>
    </row>
    <row r="40" spans="2:20" ht="21.75" customHeight="1" x14ac:dyDescent="0.25">
      <c r="B40" s="6" t="s">
        <v>45</v>
      </c>
      <c r="C40" s="13" t="s">
        <v>1</v>
      </c>
      <c r="D40" s="158">
        <f>VLOOKUP(B40,'Fiche de renseignements'!$B$63:$D$187,3,FALSE)</f>
        <v>0</v>
      </c>
    </row>
    <row r="41" spans="2:20" ht="21.75" customHeight="1" x14ac:dyDescent="0.25">
      <c r="B41" s="6" t="s">
        <v>334</v>
      </c>
      <c r="C41" s="50" t="s">
        <v>43</v>
      </c>
      <c r="D41" s="158">
        <f>VLOOKUP(B41,'Fiche de renseignements'!$B$63:$D$187,3,FALSE)</f>
        <v>0</v>
      </c>
    </row>
    <row r="42" spans="2:20" ht="26.25" customHeight="1" x14ac:dyDescent="0.25">
      <c r="B42" s="505" t="s">
        <v>510</v>
      </c>
      <c r="C42" s="14" t="s">
        <v>1</v>
      </c>
      <c r="D42" s="163">
        <f>VLOOKUP(B42,'Fiche de renseignements'!$B$63:$D$187,3,FALSE)</f>
        <v>0</v>
      </c>
    </row>
    <row r="43" spans="2:20" s="20" customFormat="1" ht="24" customHeight="1" x14ac:dyDescent="0.25">
      <c r="B43" s="42"/>
    </row>
    <row r="44" spans="2:20" s="20" customFormat="1" ht="15" hidden="1" x14ac:dyDescent="0.25">
      <c r="B44" s="779" t="s">
        <v>17</v>
      </c>
      <c r="C44" s="779"/>
      <c r="D44" s="779"/>
      <c r="E44" s="779"/>
      <c r="F44" s="779"/>
      <c r="G44" s="779"/>
      <c r="H44" s="779" t="s">
        <v>16</v>
      </c>
      <c r="I44" s="779"/>
      <c r="J44" s="779"/>
      <c r="K44" s="779"/>
      <c r="L44" s="779"/>
      <c r="M44" s="779"/>
      <c r="N44" s="779" t="s">
        <v>16</v>
      </c>
      <c r="O44" s="779"/>
      <c r="P44" s="779"/>
      <c r="Q44" s="779"/>
      <c r="R44" s="779"/>
      <c r="S44" s="779"/>
      <c r="T44" s="779"/>
    </row>
    <row r="45" spans="2:20" s="20" customFormat="1" hidden="1" x14ac:dyDescent="0.25"/>
    <row r="46" spans="2:20" s="20" customFormat="1" ht="15" hidden="1" x14ac:dyDescent="0.25">
      <c r="B46" s="776" t="s">
        <v>18</v>
      </c>
      <c r="C46" s="776"/>
      <c r="H46" s="776" t="s">
        <v>18</v>
      </c>
      <c r="I46" s="776"/>
      <c r="J46" s="776"/>
      <c r="K46" s="776"/>
      <c r="L46" s="776"/>
      <c r="M46" s="776"/>
    </row>
    <row r="47" spans="2:20" s="20" customFormat="1" ht="15" hidden="1" x14ac:dyDescent="0.25">
      <c r="B47" s="20" t="s">
        <v>360</v>
      </c>
      <c r="C47" s="43">
        <f>D38</f>
        <v>0</v>
      </c>
      <c r="N47" s="774" t="s">
        <v>124</v>
      </c>
      <c r="O47" s="774"/>
      <c r="P47" s="21">
        <f>IF(OR(D41=0,ISBLANK(D41)),13,D41)</f>
        <v>13</v>
      </c>
      <c r="Q47" s="20" t="s">
        <v>19</v>
      </c>
      <c r="R47" s="45"/>
    </row>
    <row r="48" spans="2:20" s="20" customFormat="1" ht="15" hidden="1" x14ac:dyDescent="0.25">
      <c r="B48" s="20" t="s">
        <v>29</v>
      </c>
      <c r="C48" s="23">
        <f>C47*1000/P50</f>
        <v>0</v>
      </c>
      <c r="H48" s="24" t="s">
        <v>20</v>
      </c>
      <c r="I48" s="20" t="s">
        <v>21</v>
      </c>
      <c r="J48" s="20" t="s">
        <v>22</v>
      </c>
      <c r="K48" s="20" t="s">
        <v>23</v>
      </c>
      <c r="N48" s="774" t="s">
        <v>24</v>
      </c>
      <c r="O48" s="774"/>
      <c r="P48" s="22">
        <v>15</v>
      </c>
      <c r="Q48" s="20" t="s">
        <v>19</v>
      </c>
    </row>
    <row r="49" spans="2:17" s="20" customFormat="1" hidden="1" x14ac:dyDescent="0.25">
      <c r="B49" s="20" t="s">
        <v>361</v>
      </c>
      <c r="C49" s="44">
        <f>D39</f>
        <v>0</v>
      </c>
      <c r="H49" s="20" t="s">
        <v>26</v>
      </c>
      <c r="I49" s="22">
        <v>0.59</v>
      </c>
      <c r="J49" s="20" t="s">
        <v>27</v>
      </c>
      <c r="K49" s="26">
        <f>I49/$I$49</f>
        <v>1</v>
      </c>
      <c r="N49" s="775" t="s">
        <v>28</v>
      </c>
      <c r="O49" s="775"/>
      <c r="P49" s="27">
        <f>P48*P47</f>
        <v>195</v>
      </c>
    </row>
    <row r="50" spans="2:17" s="20" customFormat="1" ht="15" hidden="1" x14ac:dyDescent="0.25">
      <c r="B50" s="499" t="s">
        <v>506</v>
      </c>
      <c r="C50" s="500">
        <v>10</v>
      </c>
      <c r="D50" s="499" t="s">
        <v>505</v>
      </c>
      <c r="E50" s="498"/>
      <c r="H50" s="20" t="s">
        <v>30</v>
      </c>
      <c r="I50" s="22">
        <v>0.31</v>
      </c>
      <c r="J50" s="20" t="s">
        <v>27</v>
      </c>
      <c r="K50" s="26">
        <f t="shared" ref="K50:K51" si="0">I50/$I$49</f>
        <v>0.52542372881355937</v>
      </c>
      <c r="N50" s="774" t="s">
        <v>31</v>
      </c>
      <c r="O50" s="774"/>
      <c r="P50" s="22">
        <v>2.5</v>
      </c>
      <c r="Q50" s="20" t="s">
        <v>19</v>
      </c>
    </row>
    <row r="51" spans="2:17" s="20" customFormat="1" ht="15" hidden="1" x14ac:dyDescent="0.25">
      <c r="B51" s="28" t="s">
        <v>511</v>
      </c>
      <c r="D51" s="20" t="s">
        <v>23</v>
      </c>
      <c r="H51" s="20" t="s">
        <v>32</v>
      </c>
      <c r="I51" s="22">
        <v>0.31</v>
      </c>
      <c r="J51" s="20" t="s">
        <v>27</v>
      </c>
      <c r="K51" s="26">
        <f t="shared" si="0"/>
        <v>0.52542372881355937</v>
      </c>
    </row>
    <row r="52" spans="2:17" s="20" customFormat="1" hidden="1" x14ac:dyDescent="0.25">
      <c r="B52" s="20" t="s">
        <v>26</v>
      </c>
      <c r="C52" s="130">
        <f>IF(D42="oui",$C$49*I49/1000,$C$50*$C$49*I49/1000)</f>
        <v>0</v>
      </c>
      <c r="D52" s="29" t="e">
        <f>C52/$C$52</f>
        <v>#DIV/0!</v>
      </c>
    </row>
    <row r="53" spans="2:17" s="20" customFormat="1" ht="15" hidden="1" x14ac:dyDescent="0.25">
      <c r="B53" s="20" t="s">
        <v>30</v>
      </c>
      <c r="C53" s="130">
        <f>IF(D42="oui",$C$49*I50/1000,$C$50*$C$49*I50/1000)</f>
        <v>0</v>
      </c>
      <c r="D53" s="29" t="e">
        <f>C53/$C$52</f>
        <v>#DIV/0!</v>
      </c>
      <c r="H53" s="776" t="s">
        <v>34</v>
      </c>
      <c r="I53" s="776"/>
      <c r="J53" s="776"/>
      <c r="K53" s="776"/>
      <c r="L53" s="776"/>
      <c r="M53" s="776"/>
    </row>
    <row r="54" spans="2:17" s="20" customFormat="1" hidden="1" x14ac:dyDescent="0.25">
      <c r="B54" s="20" t="s">
        <v>32</v>
      </c>
      <c r="C54" s="130">
        <f>IF(D42="oui",$C$49*I51/1000,$C$50*$C$49*I51/1000)</f>
        <v>0</v>
      </c>
      <c r="D54" s="29" t="e">
        <f>C54/$C$52</f>
        <v>#DIV/0!</v>
      </c>
      <c r="N54" s="20" t="s">
        <v>35</v>
      </c>
    </row>
    <row r="55" spans="2:17" s="20" customFormat="1" ht="15" hidden="1" x14ac:dyDescent="0.25">
      <c r="C55" s="130"/>
      <c r="D55" s="29"/>
      <c r="H55" s="24" t="s">
        <v>20</v>
      </c>
      <c r="I55" s="777" t="s">
        <v>42</v>
      </c>
      <c r="J55" s="777"/>
      <c r="K55" s="20" t="s">
        <v>22</v>
      </c>
      <c r="L55" s="20" t="s">
        <v>23</v>
      </c>
    </row>
    <row r="56" spans="2:17" s="20" customFormat="1" ht="15" hidden="1" x14ac:dyDescent="0.25">
      <c r="B56" s="28" t="s">
        <v>512</v>
      </c>
      <c r="D56" s="20" t="s">
        <v>23</v>
      </c>
      <c r="H56" s="20" t="s">
        <v>26</v>
      </c>
      <c r="I56" s="770">
        <v>2.2000000000000001E-4</v>
      </c>
      <c r="J56" s="770"/>
      <c r="K56" s="20" t="s">
        <v>27</v>
      </c>
      <c r="L56" s="26">
        <f>I56/$I$56</f>
        <v>1</v>
      </c>
    </row>
    <row r="57" spans="2:17" s="20" customFormat="1" hidden="1" x14ac:dyDescent="0.25">
      <c r="B57" s="20" t="s">
        <v>26</v>
      </c>
      <c r="C57" s="130">
        <f>$C$50*$C$49*I49/1000</f>
        <v>0</v>
      </c>
      <c r="D57" s="29" t="e">
        <f>C57/$C$57</f>
        <v>#DIV/0!</v>
      </c>
      <c r="H57" s="20" t="s">
        <v>30</v>
      </c>
      <c r="I57" s="778">
        <f>I56*L57</f>
        <v>1.144E-4</v>
      </c>
      <c r="J57" s="778"/>
      <c r="L57" s="32">
        <v>0.52</v>
      </c>
      <c r="M57" s="20" t="s">
        <v>27</v>
      </c>
    </row>
    <row r="58" spans="2:17" s="20" customFormat="1" hidden="1" x14ac:dyDescent="0.25">
      <c r="B58" s="20" t="s">
        <v>30</v>
      </c>
      <c r="C58" s="130">
        <f>$C$50*$C$49*I50/1000</f>
        <v>0</v>
      </c>
      <c r="D58" s="29" t="e">
        <f t="shared" ref="D58:D59" si="1">C58/$C$57</f>
        <v>#DIV/0!</v>
      </c>
      <c r="H58" s="20" t="s">
        <v>32</v>
      </c>
      <c r="I58" s="778">
        <f>I57*L58</f>
        <v>3.4319999999999999E-6</v>
      </c>
      <c r="J58" s="778"/>
      <c r="L58" s="32">
        <v>0.03</v>
      </c>
      <c r="M58" s="20" t="s">
        <v>27</v>
      </c>
    </row>
    <row r="59" spans="2:17" s="20" customFormat="1" hidden="1" x14ac:dyDescent="0.25">
      <c r="B59" s="20" t="s">
        <v>32</v>
      </c>
      <c r="C59" s="130">
        <f>$C$50*$C$49*I51/1000</f>
        <v>0</v>
      </c>
      <c r="D59" s="29" t="e">
        <f t="shared" si="1"/>
        <v>#DIV/0!</v>
      </c>
    </row>
    <row r="60" spans="2:17" s="20" customFormat="1" ht="15" hidden="1" x14ac:dyDescent="0.25">
      <c r="B60" s="776" t="s">
        <v>34</v>
      </c>
      <c r="C60" s="776"/>
    </row>
    <row r="61" spans="2:17" s="20" customFormat="1" hidden="1" x14ac:dyDescent="0.25"/>
    <row r="62" spans="2:17" s="20" customFormat="1" hidden="1" x14ac:dyDescent="0.25">
      <c r="B62" s="30" t="s">
        <v>184</v>
      </c>
      <c r="C62" s="25">
        <f>P47</f>
        <v>13</v>
      </c>
      <c r="E62" s="31"/>
    </row>
    <row r="63" spans="2:17" s="20" customFormat="1" hidden="1" x14ac:dyDescent="0.25">
      <c r="B63" s="30" t="s">
        <v>45</v>
      </c>
      <c r="C63" s="25">
        <f>D40</f>
        <v>0</v>
      </c>
    </row>
    <row r="64" spans="2:17" s="20" customFormat="1" hidden="1" x14ac:dyDescent="0.25"/>
    <row r="65" spans="1:7" s="20" customFormat="1" ht="15" hidden="1" x14ac:dyDescent="0.25">
      <c r="B65" s="28" t="s">
        <v>33</v>
      </c>
      <c r="D65" s="20" t="s">
        <v>23</v>
      </c>
      <c r="E65" s="507" t="e">
        <f>C66/C52</f>
        <v>#DIV/0!</v>
      </c>
    </row>
    <row r="66" spans="1:7" s="20" customFormat="1" hidden="1" x14ac:dyDescent="0.25">
      <c r="B66" s="20" t="s">
        <v>26</v>
      </c>
      <c r="C66" s="128">
        <f>I56*($C$62^1.5)*$C$63/1000</f>
        <v>0</v>
      </c>
      <c r="D66" s="29" t="e">
        <f>C66/$C$66</f>
        <v>#DIV/0!</v>
      </c>
    </row>
    <row r="67" spans="1:7" s="20" customFormat="1" hidden="1" x14ac:dyDescent="0.25">
      <c r="B67" s="20" t="s">
        <v>30</v>
      </c>
      <c r="C67" s="128">
        <f>I57*($C$62^1.5)*$C$63/1000</f>
        <v>0</v>
      </c>
      <c r="D67" s="29" t="e">
        <f>C67/$C$66</f>
        <v>#DIV/0!</v>
      </c>
    </row>
    <row r="68" spans="1:7" s="20" customFormat="1" hidden="1" x14ac:dyDescent="0.25">
      <c r="B68" s="20" t="s">
        <v>32</v>
      </c>
      <c r="C68" s="128">
        <f>I58*($C$62^1.5)*$C$63/1000</f>
        <v>0</v>
      </c>
      <c r="D68" s="29" t="e">
        <f>C68/$C$66</f>
        <v>#DIV/0!</v>
      </c>
    </row>
    <row r="69" spans="1:7" ht="15" hidden="1" thickBot="1" x14ac:dyDescent="0.3">
      <c r="A69" s="20"/>
      <c r="B69" s="20"/>
      <c r="C69" s="20"/>
      <c r="D69" s="20"/>
      <c r="E69" s="20"/>
      <c r="F69" s="20"/>
      <c r="G69" s="20"/>
    </row>
    <row r="70" spans="1:7" ht="15.75" hidden="1" thickTop="1" x14ac:dyDescent="0.25">
      <c r="A70" s="20"/>
      <c r="B70" s="771" t="s">
        <v>356</v>
      </c>
      <c r="C70" s="772"/>
      <c r="D70" s="772"/>
      <c r="E70" s="772"/>
      <c r="F70" s="773"/>
    </row>
    <row r="71" spans="1:7" ht="15" hidden="1" x14ac:dyDescent="0.25">
      <c r="A71" s="20"/>
      <c r="B71" s="33" t="s">
        <v>33</v>
      </c>
      <c r="C71" s="34"/>
      <c r="D71" s="20" t="s">
        <v>23</v>
      </c>
      <c r="E71" s="35" t="s">
        <v>36</v>
      </c>
      <c r="F71" s="36"/>
    </row>
    <row r="72" spans="1:7" hidden="1" x14ac:dyDescent="0.25">
      <c r="A72" s="20"/>
      <c r="B72" s="37" t="s">
        <v>26</v>
      </c>
      <c r="C72" s="129">
        <f>C66+C52</f>
        <v>0</v>
      </c>
      <c r="D72" s="29" t="e">
        <f>C72/$C$72</f>
        <v>#DIV/0!</v>
      </c>
      <c r="E72" s="34" t="s">
        <v>26</v>
      </c>
      <c r="F72" s="38" t="str">
        <f>IF(ISERROR(C72*10^6/$C$47),"-",C72*10^6/$C$47)</f>
        <v>-</v>
      </c>
    </row>
    <row r="73" spans="1:7" hidden="1" x14ac:dyDescent="0.25">
      <c r="A73" s="20"/>
      <c r="B73" s="37" t="s">
        <v>30</v>
      </c>
      <c r="C73" s="129">
        <f>C67+C53</f>
        <v>0</v>
      </c>
      <c r="D73" s="29" t="e">
        <f>C73/$C$72</f>
        <v>#DIV/0!</v>
      </c>
      <c r="E73" s="34" t="s">
        <v>30</v>
      </c>
      <c r="F73" s="38" t="str">
        <f>IF(ISERROR(C73*10^6/$C$47),"-",C73*10^6/$C$47)</f>
        <v>-</v>
      </c>
    </row>
    <row r="74" spans="1:7" hidden="1" x14ac:dyDescent="0.25">
      <c r="B74" s="37" t="s">
        <v>32</v>
      </c>
      <c r="C74" s="129">
        <f>C68+C54</f>
        <v>0</v>
      </c>
      <c r="D74" s="29" t="e">
        <f>C74/$C$72</f>
        <v>#DIV/0!</v>
      </c>
      <c r="E74" s="34" t="s">
        <v>32</v>
      </c>
      <c r="F74" s="38" t="str">
        <f>IF(ISERROR(C74*10^6/$C$47),"-",C74*10^6/$C$47)</f>
        <v>-</v>
      </c>
    </row>
    <row r="75" spans="1:7" ht="15" hidden="1" thickBot="1" x14ac:dyDescent="0.3">
      <c r="B75" s="39"/>
      <c r="C75" s="40"/>
      <c r="D75" s="40"/>
      <c r="E75" s="40"/>
      <c r="F75" s="41"/>
    </row>
    <row r="76" spans="1:7" ht="15" hidden="1" thickTop="1" x14ac:dyDescent="0.25"/>
    <row r="77" spans="1:7" hidden="1" x14ac:dyDescent="0.25"/>
  </sheetData>
  <sheetProtection algorithmName="SHA-512" hashValue="l1VtKF7OClxPSauWBdypzkJVziyEvcqvtoq9Txxls3nLDYB5hpvTz5TmGI5v4KW5rqc5soNdj0J1XoFT5m4oPA==" saltValue="/fnZZhKBz6D/uoCvKHZLZQ==" spinCount="100000" sheet="1" selectLockedCells="1"/>
  <mergeCells count="32">
    <mergeCell ref="H17:J17"/>
    <mergeCell ref="H18:J18"/>
    <mergeCell ref="H19:J19"/>
    <mergeCell ref="B22:E22"/>
    <mergeCell ref="B33:E33"/>
    <mergeCell ref="B31:E31"/>
    <mergeCell ref="B44:G44"/>
    <mergeCell ref="H44:M44"/>
    <mergeCell ref="N44:T44"/>
    <mergeCell ref="B46:C46"/>
    <mergeCell ref="H46:M46"/>
    <mergeCell ref="I56:J56"/>
    <mergeCell ref="B70:F70"/>
    <mergeCell ref="N47:O47"/>
    <mergeCell ref="N48:O48"/>
    <mergeCell ref="N49:O49"/>
    <mergeCell ref="N50:O50"/>
    <mergeCell ref="H53:M53"/>
    <mergeCell ref="B60:C60"/>
    <mergeCell ref="I55:J55"/>
    <mergeCell ref="I58:J58"/>
    <mergeCell ref="I57:J57"/>
    <mergeCell ref="B5:C5"/>
    <mergeCell ref="B6:C6"/>
    <mergeCell ref="B7:C7"/>
    <mergeCell ref="B8:C8"/>
    <mergeCell ref="B9:C9"/>
    <mergeCell ref="B10:C10"/>
    <mergeCell ref="B11:C11"/>
    <mergeCell ref="B12:C12"/>
    <mergeCell ref="B13:C13"/>
    <mergeCell ref="B14:C14"/>
  </mergeCells>
  <dataValidations count="1">
    <dataValidation type="decimal" allowBlank="1" showInputMessage="1" showErrorMessage="1" error="Seule une valeur numérique est acceptée dans ce champ" sqref="D38:D42" xr:uid="{00000000-0002-0000-0300-000000000000}">
      <formula1>0</formula1>
      <formula2>1000000</formula2>
    </dataValidation>
  </dataValidations>
  <printOptions horizontalCentered="1" verticalCentered="1"/>
  <pageMargins left="0.70866141732283472" right="0.70866141732283472" top="0.74803149606299213" bottom="0.74803149606299213" header="0.31496062992125984" footer="0.31496062992125984"/>
  <pageSetup paperSize="9" scale="43"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R334"/>
  <sheetViews>
    <sheetView showGridLines="0" zoomScale="70" zoomScaleNormal="70" workbookViewId="0">
      <selection activeCell="I55" sqref="I55"/>
    </sheetView>
  </sheetViews>
  <sheetFormatPr baseColWidth="10" defaultColWidth="11.42578125" defaultRowHeight="14.25" x14ac:dyDescent="0.2"/>
  <cols>
    <col min="1" max="1" width="5.28515625" style="222" customWidth="1"/>
    <col min="2" max="2" width="20.140625" style="222" customWidth="1"/>
    <col min="3" max="4" width="15.28515625" style="222" customWidth="1"/>
    <col min="5" max="7" width="11.85546875" style="222" customWidth="1"/>
    <col min="8" max="9" width="38" style="222" customWidth="1"/>
    <col min="10" max="10" width="11" style="222" customWidth="1"/>
    <col min="11" max="11" width="7.42578125" style="222" customWidth="1"/>
    <col min="12" max="12" width="51.42578125" style="222" customWidth="1"/>
    <col min="13" max="13" width="4.28515625" style="222" customWidth="1"/>
    <col min="14" max="14" width="58.140625" style="222" customWidth="1"/>
    <col min="15" max="16" width="27.85546875" style="222" customWidth="1"/>
    <col min="17" max="18" width="9.42578125" style="222" customWidth="1"/>
    <col min="19" max="19" width="19.42578125" style="222" customWidth="1"/>
    <col min="20" max="20" width="20.28515625" style="222" customWidth="1"/>
    <col min="21" max="21" width="12.140625" style="222" customWidth="1"/>
    <col min="22" max="22" width="23.5703125" style="222" customWidth="1"/>
    <col min="23" max="23" width="20.28515625" style="222" customWidth="1"/>
    <col min="24" max="24" width="11.42578125" style="222"/>
    <col min="25" max="25" width="20.140625" style="222" customWidth="1"/>
    <col min="26" max="26" width="14" style="222" customWidth="1"/>
    <col min="27" max="27" width="11.42578125" style="222"/>
    <col min="28" max="28" width="20.28515625" style="222" customWidth="1"/>
    <col min="29" max="29" width="11.42578125" style="222" customWidth="1"/>
    <col min="30" max="32" width="11.42578125" style="222"/>
    <col min="33" max="33" width="13.140625" style="222" bestFit="1" customWidth="1"/>
    <col min="34" max="16384" width="11.42578125" style="222"/>
  </cols>
  <sheetData>
    <row r="1" spans="2:17" ht="107.25" customHeight="1" x14ac:dyDescent="0.2"/>
    <row r="2" spans="2:17" ht="38.25" customHeight="1" x14ac:dyDescent="0.2">
      <c r="B2" s="136" t="s">
        <v>420</v>
      </c>
      <c r="C2" s="133"/>
      <c r="D2" s="136"/>
      <c r="E2" s="136"/>
      <c r="F2" s="136"/>
      <c r="G2" s="136"/>
      <c r="H2" s="136"/>
      <c r="I2" s="136"/>
      <c r="J2" s="136"/>
      <c r="K2" s="137"/>
    </row>
    <row r="3" spans="2:17" ht="12.75" customHeight="1" x14ac:dyDescent="0.2">
      <c r="B3" s="136"/>
      <c r="C3" s="136"/>
      <c r="D3" s="136"/>
      <c r="E3" s="136"/>
      <c r="F3" s="136"/>
      <c r="G3" s="136"/>
      <c r="H3" s="136"/>
      <c r="I3" s="136"/>
      <c r="J3" s="136"/>
      <c r="K3" s="137"/>
    </row>
    <row r="4" spans="2:17" s="139" customFormat="1" ht="27" customHeight="1" x14ac:dyDescent="0.2">
      <c r="B4" s="238" t="s">
        <v>74</v>
      </c>
      <c r="C4" s="239"/>
      <c r="D4" s="239"/>
      <c r="E4" s="239"/>
      <c r="F4" s="239"/>
      <c r="G4" s="239"/>
      <c r="H4" s="239"/>
      <c r="I4" s="138" t="s">
        <v>39</v>
      </c>
      <c r="K4" s="222"/>
      <c r="L4" s="222"/>
    </row>
    <row r="5" spans="2:17" s="139" customFormat="1" ht="27" customHeight="1" x14ac:dyDescent="0.2">
      <c r="B5" s="240" t="s">
        <v>75</v>
      </c>
      <c r="C5" s="241"/>
      <c r="D5" s="241"/>
      <c r="E5" s="241"/>
      <c r="F5" s="241"/>
      <c r="G5" s="241"/>
      <c r="H5" s="241"/>
      <c r="I5" s="140" t="s">
        <v>39</v>
      </c>
      <c r="K5" s="222"/>
      <c r="L5" s="222"/>
    </row>
    <row r="6" spans="2:17" s="139" customFormat="1" ht="27" customHeight="1" x14ac:dyDescent="0.2">
      <c r="B6" s="240" t="s">
        <v>299</v>
      </c>
      <c r="C6" s="241"/>
      <c r="D6" s="241"/>
      <c r="E6" s="241"/>
      <c r="F6" s="241"/>
      <c r="G6" s="241"/>
      <c r="H6" s="241"/>
      <c r="I6" s="140" t="s">
        <v>39</v>
      </c>
    </row>
    <row r="7" spans="2:17" s="139" customFormat="1" ht="27" customHeight="1" x14ac:dyDescent="0.2">
      <c r="B7" s="240" t="s">
        <v>140</v>
      </c>
      <c r="C7" s="241"/>
      <c r="D7" s="241"/>
      <c r="E7" s="241"/>
      <c r="F7" s="241"/>
      <c r="G7" s="241"/>
      <c r="H7" s="241"/>
      <c r="I7" s="140" t="s">
        <v>39</v>
      </c>
      <c r="L7" s="141"/>
      <c r="M7" s="141"/>
      <c r="N7" s="141"/>
    </row>
    <row r="8" spans="2:17" s="139" customFormat="1" ht="27" customHeight="1" x14ac:dyDescent="0.2">
      <c r="B8" s="240" t="s">
        <v>77</v>
      </c>
      <c r="C8" s="241"/>
      <c r="D8" s="241"/>
      <c r="E8" s="241"/>
      <c r="F8" s="241"/>
      <c r="G8" s="241"/>
      <c r="H8" s="241"/>
      <c r="I8" s="140" t="s">
        <v>39</v>
      </c>
      <c r="L8" s="141"/>
      <c r="M8" s="142"/>
      <c r="N8" s="143"/>
    </row>
    <row r="9" spans="2:17" s="139" customFormat="1" ht="27" customHeight="1" x14ac:dyDescent="0.2">
      <c r="B9" s="240" t="s">
        <v>84</v>
      </c>
      <c r="C9" s="241"/>
      <c r="D9" s="241"/>
      <c r="E9" s="241"/>
      <c r="F9" s="241"/>
      <c r="G9" s="241"/>
      <c r="H9" s="241"/>
      <c r="I9" s="140" t="s">
        <v>39</v>
      </c>
      <c r="L9" s="141"/>
      <c r="M9" s="142"/>
      <c r="N9" s="143"/>
    </row>
    <row r="10" spans="2:17" s="139" customFormat="1" ht="27" customHeight="1" x14ac:dyDescent="0.2">
      <c r="B10" s="240" t="s">
        <v>78</v>
      </c>
      <c r="C10" s="241"/>
      <c r="D10" s="241"/>
      <c r="E10" s="241"/>
      <c r="F10" s="241"/>
      <c r="G10" s="241"/>
      <c r="H10" s="241"/>
      <c r="I10" s="140" t="s">
        <v>39</v>
      </c>
      <c r="L10" s="141"/>
      <c r="M10" s="142"/>
      <c r="N10" s="143"/>
    </row>
    <row r="11" spans="2:17" s="139" customFormat="1" ht="27" customHeight="1" x14ac:dyDescent="0.2">
      <c r="B11" s="240" t="s">
        <v>79</v>
      </c>
      <c r="C11" s="241"/>
      <c r="D11" s="241"/>
      <c r="E11" s="241"/>
      <c r="F11" s="241"/>
      <c r="G11" s="241"/>
      <c r="H11" s="241"/>
      <c r="I11" s="140" t="s">
        <v>39</v>
      </c>
      <c r="L11" s="141"/>
      <c r="M11" s="142"/>
      <c r="N11" s="143"/>
    </row>
    <row r="12" spans="2:17" s="139" customFormat="1" ht="27" customHeight="1" x14ac:dyDescent="0.2">
      <c r="B12" s="240" t="s">
        <v>80</v>
      </c>
      <c r="C12" s="241"/>
      <c r="D12" s="241"/>
      <c r="E12" s="241"/>
      <c r="F12" s="241"/>
      <c r="G12" s="241"/>
      <c r="H12" s="241"/>
      <c r="I12" s="140" t="s">
        <v>39</v>
      </c>
      <c r="L12" s="141"/>
      <c r="M12" s="142"/>
      <c r="N12" s="143"/>
    </row>
    <row r="13" spans="2:17" s="139" customFormat="1" ht="27" customHeight="1" x14ac:dyDescent="0.2">
      <c r="B13" s="242" t="s">
        <v>85</v>
      </c>
      <c r="C13" s="243"/>
      <c r="D13" s="243"/>
      <c r="E13" s="243"/>
      <c r="F13" s="243"/>
      <c r="G13" s="243"/>
      <c r="H13" s="243"/>
      <c r="I13" s="144"/>
      <c r="L13" s="141"/>
      <c r="M13" s="142"/>
      <c r="N13" s="143"/>
    </row>
    <row r="14" spans="2:17" s="139" customFormat="1" ht="15.75" x14ac:dyDescent="0.2">
      <c r="B14" s="145"/>
      <c r="C14" s="145"/>
      <c r="D14" s="145"/>
      <c r="E14" s="145"/>
      <c r="F14" s="145"/>
      <c r="G14" s="145"/>
      <c r="H14" s="145"/>
      <c r="I14" s="145"/>
      <c r="J14" s="145"/>
      <c r="K14" s="146"/>
      <c r="O14" s="141"/>
      <c r="P14" s="142"/>
      <c r="Q14" s="143"/>
    </row>
    <row r="15" spans="2:17" s="139" customFormat="1" ht="49.5" customHeight="1" x14ac:dyDescent="0.2">
      <c r="B15" s="817" t="s">
        <v>47</v>
      </c>
      <c r="C15" s="818"/>
      <c r="D15" s="819"/>
      <c r="E15" s="747" t="s">
        <v>323</v>
      </c>
      <c r="F15" s="780"/>
      <c r="G15" s="780"/>
      <c r="H15" s="150" t="s">
        <v>324</v>
      </c>
      <c r="I15" s="150" t="s">
        <v>309</v>
      </c>
      <c r="K15" s="141"/>
      <c r="L15" s="747" t="s">
        <v>389</v>
      </c>
      <c r="M15" s="780"/>
      <c r="N15" s="748"/>
    </row>
    <row r="16" spans="2:17" s="139" customFormat="1" ht="26.25" customHeight="1" x14ac:dyDescent="0.2">
      <c r="B16" s="838" t="s">
        <v>15</v>
      </c>
      <c r="C16" s="839"/>
      <c r="D16" s="839"/>
      <c r="E16" s="840">
        <f>H16/1000</f>
        <v>0</v>
      </c>
      <c r="F16" s="841"/>
      <c r="G16" s="841"/>
      <c r="H16" s="244">
        <f>H24+H87</f>
        <v>0</v>
      </c>
      <c r="I16" s="398">
        <f>IFERROR(H16*1000/'Fiche de renseignements'!$D$75,0)</f>
        <v>0</v>
      </c>
      <c r="K16" s="141"/>
      <c r="L16" s="840">
        <f>IFERROR(L222-J222,0)</f>
        <v>0</v>
      </c>
      <c r="M16" s="841"/>
      <c r="N16" s="860"/>
    </row>
    <row r="17" spans="2:17" s="139" customFormat="1" ht="26.25" customHeight="1" x14ac:dyDescent="0.2">
      <c r="B17" s="856" t="s">
        <v>63</v>
      </c>
      <c r="C17" s="857"/>
      <c r="D17" s="857"/>
      <c r="E17" s="858">
        <f>H17/1000</f>
        <v>0</v>
      </c>
      <c r="F17" s="859"/>
      <c r="G17" s="859"/>
      <c r="H17" s="245">
        <f>H25+H88</f>
        <v>0</v>
      </c>
      <c r="I17" s="399">
        <f>IFERROR(H17*1000/'Fiche de renseignements'!$D$75,0)</f>
        <v>0</v>
      </c>
      <c r="K17" s="141"/>
      <c r="L17" s="858">
        <f>IFERROR(L223-J223,0)</f>
        <v>0</v>
      </c>
      <c r="M17" s="859"/>
      <c r="N17" s="861"/>
    </row>
    <row r="18" spans="2:17" s="139" customFormat="1" ht="22.5" customHeight="1" x14ac:dyDescent="0.2">
      <c r="B18" s="147"/>
      <c r="C18" s="147"/>
      <c r="D18" s="147"/>
      <c r="E18" s="147"/>
      <c r="F18" s="147"/>
      <c r="G18" s="147"/>
      <c r="H18" s="147"/>
      <c r="I18" s="147"/>
      <c r="J18" s="147"/>
      <c r="K18" s="148"/>
      <c r="O18" s="141"/>
      <c r="P18" s="142"/>
      <c r="Q18" s="143"/>
    </row>
    <row r="19" spans="2:17" s="139" customFormat="1" ht="22.5" customHeight="1" x14ac:dyDescent="0.2">
      <c r="B19" s="70" t="s">
        <v>158</v>
      </c>
      <c r="C19" s="147"/>
      <c r="D19" s="147"/>
      <c r="E19" s="147"/>
      <c r="F19" s="147"/>
      <c r="G19" s="147"/>
      <c r="H19" s="147"/>
      <c r="I19" s="147"/>
      <c r="J19" s="147"/>
      <c r="K19" s="148"/>
      <c r="O19" s="141"/>
      <c r="P19" s="142"/>
      <c r="Q19" s="143"/>
    </row>
    <row r="21" spans="2:17" s="139" customFormat="1" ht="22.5" customHeight="1" x14ac:dyDescent="0.2">
      <c r="B21" s="437" t="s">
        <v>419</v>
      </c>
      <c r="C21" s="438"/>
      <c r="D21" s="438"/>
      <c r="E21" s="438"/>
      <c r="F21" s="438"/>
      <c r="G21" s="438"/>
      <c r="H21" s="438"/>
      <c r="I21" s="438"/>
      <c r="J21" s="438"/>
      <c r="K21" s="439"/>
      <c r="L21" s="440"/>
      <c r="M21" s="440"/>
      <c r="N21" s="440"/>
      <c r="O21" s="141"/>
      <c r="P21" s="142"/>
      <c r="Q21" s="143"/>
    </row>
    <row r="22" spans="2:17" s="340" customFormat="1" ht="22.5" customHeight="1" x14ac:dyDescent="0.2">
      <c r="B22" s="166"/>
      <c r="C22" s="147"/>
      <c r="D22" s="147"/>
      <c r="E22" s="147"/>
      <c r="F22" s="147"/>
      <c r="G22" s="147"/>
      <c r="H22" s="147"/>
      <c r="I22" s="147"/>
      <c r="J22" s="147"/>
      <c r="K22" s="411"/>
      <c r="O22" s="441"/>
      <c r="P22" s="442"/>
      <c r="Q22" s="443"/>
    </row>
    <row r="23" spans="2:17" s="340" customFormat="1" ht="51.75" customHeight="1" x14ac:dyDescent="0.2">
      <c r="B23" s="817" t="s">
        <v>47</v>
      </c>
      <c r="C23" s="818"/>
      <c r="D23" s="819"/>
      <c r="E23" s="747" t="s">
        <v>416</v>
      </c>
      <c r="F23" s="780"/>
      <c r="G23" s="780"/>
      <c r="H23" s="150" t="s">
        <v>417</v>
      </c>
      <c r="I23" s="150" t="s">
        <v>418</v>
      </c>
      <c r="J23" s="139"/>
      <c r="K23" s="141"/>
      <c r="L23" s="747" t="s">
        <v>389</v>
      </c>
      <c r="M23" s="780"/>
      <c r="N23" s="748"/>
      <c r="O23" s="441"/>
      <c r="P23" s="442"/>
      <c r="Q23" s="443"/>
    </row>
    <row r="24" spans="2:17" s="340" customFormat="1" ht="22.5" customHeight="1" x14ac:dyDescent="0.2">
      <c r="B24" s="838" t="s">
        <v>15</v>
      </c>
      <c r="C24" s="839"/>
      <c r="D24" s="839"/>
      <c r="E24" s="840">
        <f>H24/1000</f>
        <v>0</v>
      </c>
      <c r="F24" s="841"/>
      <c r="G24" s="841"/>
      <c r="H24" s="244">
        <f>IFERROR(J222,0)</f>
        <v>0</v>
      </c>
      <c r="I24" s="398">
        <f>IFERROR(J217*1000,0)</f>
        <v>0</v>
      </c>
      <c r="J24" s="139"/>
      <c r="K24" s="141"/>
      <c r="L24" s="842">
        <f>IFERROR(L222-J222,0)</f>
        <v>0</v>
      </c>
      <c r="M24" s="843"/>
      <c r="N24" s="844"/>
      <c r="O24" s="441"/>
      <c r="P24" s="442"/>
      <c r="Q24" s="443"/>
    </row>
    <row r="25" spans="2:17" s="340" customFormat="1" ht="22.5" customHeight="1" x14ac:dyDescent="0.2">
      <c r="B25" s="856" t="s">
        <v>63</v>
      </c>
      <c r="C25" s="857"/>
      <c r="D25" s="857"/>
      <c r="E25" s="858">
        <f>H25/1000</f>
        <v>0</v>
      </c>
      <c r="F25" s="859"/>
      <c r="G25" s="859"/>
      <c r="H25" s="245">
        <f>IFERROR(J223,0)</f>
        <v>0</v>
      </c>
      <c r="I25" s="399">
        <f>IFERROR(J218*1000,0)</f>
        <v>0</v>
      </c>
      <c r="J25" s="139"/>
      <c r="K25" s="141"/>
      <c r="L25" s="846">
        <f>IFERROR(L223-J223,0)</f>
        <v>0</v>
      </c>
      <c r="M25" s="847"/>
      <c r="N25" s="848"/>
      <c r="O25" s="441"/>
      <c r="P25" s="442"/>
      <c r="Q25" s="443"/>
    </row>
    <row r="26" spans="2:17" s="340" customFormat="1" ht="22.5" customHeight="1" x14ac:dyDescent="0.2">
      <c r="B26" s="166"/>
      <c r="C26" s="147"/>
      <c r="D26" s="147"/>
      <c r="E26" s="147"/>
      <c r="F26" s="147"/>
      <c r="G26" s="147"/>
      <c r="H26" s="147"/>
      <c r="I26" s="147"/>
      <c r="J26" s="147"/>
      <c r="K26" s="411"/>
      <c r="O26" s="441"/>
      <c r="P26" s="442"/>
      <c r="Q26" s="443"/>
    </row>
    <row r="27" spans="2:17" s="139" customFormat="1" ht="22.5" customHeight="1" x14ac:dyDescent="0.2">
      <c r="B27" s="170" t="s">
        <v>430</v>
      </c>
      <c r="C27" s="147"/>
      <c r="D27" s="147"/>
      <c r="E27" s="147"/>
      <c r="F27" s="147"/>
      <c r="G27" s="147"/>
      <c r="H27" s="147"/>
      <c r="I27" s="147"/>
      <c r="J27" s="147"/>
      <c r="K27" s="148"/>
      <c r="O27" s="141"/>
      <c r="P27" s="142"/>
      <c r="Q27" s="143"/>
    </row>
    <row r="28" spans="2:17" s="139" customFormat="1" ht="40.5" customHeight="1" x14ac:dyDescent="0.2">
      <c r="B28" s="147"/>
      <c r="C28" s="147"/>
      <c r="D28" s="147"/>
      <c r="E28" s="147"/>
      <c r="F28" s="147"/>
      <c r="G28" s="147"/>
      <c r="H28" s="147"/>
      <c r="I28" s="147"/>
      <c r="J28" s="147"/>
      <c r="K28" s="148"/>
      <c r="O28" s="141"/>
      <c r="P28" s="142"/>
      <c r="Q28" s="143"/>
    </row>
    <row r="29" spans="2:17" s="139" customFormat="1" ht="40.5" customHeight="1" x14ac:dyDescent="0.2">
      <c r="B29" s="223"/>
      <c r="C29" s="147"/>
      <c r="D29" s="147"/>
      <c r="E29" s="147"/>
      <c r="F29" s="147"/>
      <c r="G29" s="147"/>
      <c r="H29" s="147"/>
      <c r="I29" s="147"/>
      <c r="J29" s="147"/>
      <c r="K29" s="148"/>
      <c r="O29" s="141"/>
      <c r="P29" s="142"/>
      <c r="Q29" s="143"/>
    </row>
    <row r="30" spans="2:17" s="139" customFormat="1" ht="40.5" customHeight="1" x14ac:dyDescent="0.2">
      <c r="B30" s="147"/>
      <c r="C30" s="147"/>
      <c r="D30" s="147"/>
      <c r="E30" s="147"/>
      <c r="F30" s="147"/>
      <c r="G30" s="147"/>
      <c r="H30" s="147"/>
      <c r="I30" s="147"/>
      <c r="J30" s="147"/>
      <c r="K30" s="148"/>
      <c r="O30" s="141"/>
      <c r="P30" s="142"/>
      <c r="Q30" s="143"/>
    </row>
    <row r="31" spans="2:17" s="139" customFormat="1" ht="18" customHeight="1" x14ac:dyDescent="0.2">
      <c r="B31" s="147"/>
      <c r="C31" s="147"/>
      <c r="D31" s="147"/>
      <c r="E31" s="147"/>
      <c r="F31" s="147"/>
      <c r="G31" s="147"/>
      <c r="H31" s="147"/>
      <c r="I31" s="147"/>
      <c r="J31" s="147"/>
      <c r="K31" s="148"/>
      <c r="O31" s="141"/>
      <c r="P31" s="142"/>
      <c r="Q31" s="143"/>
    </row>
    <row r="32" spans="2:17" s="139" customFormat="1" ht="33.75" customHeight="1" x14ac:dyDescent="0.2">
      <c r="B32" s="802" t="s">
        <v>424</v>
      </c>
      <c r="C32" s="802"/>
      <c r="D32" s="802"/>
      <c r="E32" s="802"/>
      <c r="F32" s="802"/>
      <c r="G32" s="802"/>
      <c r="H32" s="802"/>
      <c r="I32" s="802"/>
      <c r="J32" s="802"/>
      <c r="K32" s="802"/>
      <c r="L32" s="802"/>
      <c r="O32" s="141"/>
      <c r="P32" s="142"/>
      <c r="Q32" s="143"/>
    </row>
    <row r="33" spans="2:17" s="139" customFormat="1" ht="18.75" customHeight="1" x14ac:dyDescent="0.2">
      <c r="B33" s="833" t="s">
        <v>425</v>
      </c>
      <c r="C33" s="833"/>
      <c r="D33" s="833"/>
      <c r="E33" s="833"/>
      <c r="F33" s="833"/>
      <c r="G33" s="833"/>
      <c r="H33" s="833"/>
      <c r="I33" s="833"/>
      <c r="J33" s="833"/>
      <c r="K33" s="833"/>
      <c r="L33" s="833"/>
      <c r="O33" s="141"/>
      <c r="P33" s="142"/>
      <c r="Q33" s="143"/>
    </row>
    <row r="34" spans="2:17" s="139" customFormat="1" ht="20.25" customHeight="1" x14ac:dyDescent="0.2">
      <c r="B34" s="833" t="s">
        <v>426</v>
      </c>
      <c r="C34" s="833"/>
      <c r="D34" s="833"/>
      <c r="E34" s="833"/>
      <c r="F34" s="833"/>
      <c r="G34" s="833"/>
      <c r="H34" s="833"/>
      <c r="I34" s="833"/>
      <c r="J34" s="833"/>
      <c r="K34" s="833"/>
      <c r="L34" s="833"/>
      <c r="O34" s="141"/>
      <c r="P34" s="142"/>
      <c r="Q34" s="143"/>
    </row>
    <row r="35" spans="2:17" s="139" customFormat="1" ht="20.25" customHeight="1" x14ac:dyDescent="0.2">
      <c r="B35" s="425"/>
      <c r="C35" s="425"/>
      <c r="D35" s="425"/>
      <c r="E35" s="425"/>
      <c r="F35" s="425"/>
      <c r="G35" s="425"/>
      <c r="H35" s="425"/>
      <c r="I35" s="425"/>
      <c r="J35" s="425"/>
      <c r="K35" s="425"/>
      <c r="L35" s="425"/>
      <c r="O35" s="141"/>
      <c r="P35" s="142"/>
      <c r="Q35" s="143"/>
    </row>
    <row r="36" spans="2:17" s="139" customFormat="1" ht="20.25" customHeight="1" x14ac:dyDescent="0.2">
      <c r="B36" s="845" t="s">
        <v>189</v>
      </c>
      <c r="C36" s="845" t="s">
        <v>190</v>
      </c>
      <c r="D36" s="845"/>
      <c r="E36" s="845"/>
      <c r="F36" s="425"/>
      <c r="G36" s="425"/>
      <c r="H36" s="425"/>
      <c r="I36" s="425"/>
      <c r="J36" s="425"/>
      <c r="K36" s="425"/>
      <c r="L36" s="425"/>
      <c r="O36" s="141"/>
      <c r="P36" s="142"/>
      <c r="Q36" s="143"/>
    </row>
    <row r="37" spans="2:17" s="139" customFormat="1" ht="20.25" customHeight="1" x14ac:dyDescent="0.2">
      <c r="B37" s="845"/>
      <c r="C37" s="237" t="s">
        <v>191</v>
      </c>
      <c r="D37" s="237" t="s">
        <v>192</v>
      </c>
      <c r="E37" s="237" t="s">
        <v>193</v>
      </c>
      <c r="F37" s="425"/>
      <c r="G37" s="425"/>
      <c r="H37" s="425"/>
      <c r="I37" s="425"/>
      <c r="J37" s="425"/>
      <c r="K37" s="425"/>
      <c r="L37" s="425"/>
      <c r="O37" s="141"/>
      <c r="P37" s="142"/>
      <c r="Q37" s="143"/>
    </row>
    <row r="38" spans="2:17" s="139" customFormat="1" ht="20.25" customHeight="1" x14ac:dyDescent="0.2">
      <c r="B38" s="299" t="s">
        <v>160</v>
      </c>
      <c r="C38" s="538" t="e">
        <f>C230</f>
        <v>#N/A</v>
      </c>
      <c r="D38" s="538" t="e">
        <f>C231</f>
        <v>#N/A</v>
      </c>
      <c r="E38" s="538" t="e">
        <f>C232</f>
        <v>#N/A</v>
      </c>
      <c r="F38" s="425"/>
      <c r="G38" s="425"/>
      <c r="H38" s="425"/>
      <c r="I38" s="425"/>
      <c r="J38" s="425"/>
      <c r="K38" s="425"/>
      <c r="L38" s="425"/>
      <c r="O38" s="141"/>
      <c r="P38" s="142"/>
      <c r="Q38" s="143"/>
    </row>
    <row r="39" spans="2:17" s="139" customFormat="1" ht="20.25" customHeight="1" x14ac:dyDescent="0.2">
      <c r="B39" s="300" t="s">
        <v>161</v>
      </c>
      <c r="C39" s="539" t="e">
        <f>D230</f>
        <v>#N/A</v>
      </c>
      <c r="D39" s="539" t="e">
        <f>D231</f>
        <v>#N/A</v>
      </c>
      <c r="E39" s="539" t="e">
        <f>D232</f>
        <v>#N/A</v>
      </c>
      <c r="F39" s="425"/>
      <c r="G39" s="425"/>
      <c r="H39" s="425"/>
      <c r="I39" s="425"/>
      <c r="J39" s="425"/>
      <c r="K39" s="425"/>
      <c r="L39" s="425"/>
      <c r="O39" s="141"/>
      <c r="P39" s="142"/>
      <c r="Q39" s="143"/>
    </row>
    <row r="40" spans="2:17" s="139" customFormat="1" ht="20.25" customHeight="1" x14ac:dyDescent="0.2">
      <c r="B40" s="425"/>
      <c r="C40" s="425"/>
      <c r="D40" s="425"/>
      <c r="E40" s="425"/>
      <c r="F40" s="425"/>
      <c r="G40" s="425"/>
      <c r="H40" s="425"/>
      <c r="I40" s="425"/>
      <c r="J40" s="425"/>
      <c r="K40" s="425"/>
      <c r="L40" s="425"/>
      <c r="O40" s="141"/>
      <c r="P40" s="142"/>
      <c r="Q40" s="143"/>
    </row>
    <row r="41" spans="2:17" s="139" customFormat="1" ht="20.25" customHeight="1" x14ac:dyDescent="0.2">
      <c r="B41" s="833" t="s">
        <v>429</v>
      </c>
      <c r="C41" s="833"/>
      <c r="D41" s="833"/>
      <c r="E41" s="833"/>
      <c r="F41" s="833"/>
      <c r="G41" s="833"/>
      <c r="H41" s="833"/>
      <c r="I41" s="833"/>
      <c r="J41" s="833"/>
      <c r="K41" s="833"/>
      <c r="L41" s="833"/>
      <c r="O41" s="141"/>
      <c r="P41" s="142"/>
      <c r="Q41" s="143"/>
    </row>
    <row r="42" spans="2:17" s="139" customFormat="1" ht="20.25" customHeight="1" x14ac:dyDescent="0.2">
      <c r="B42" s="425"/>
      <c r="C42" s="425"/>
      <c r="D42" s="425"/>
      <c r="E42" s="425"/>
      <c r="F42" s="425"/>
      <c r="G42" s="425"/>
      <c r="H42" s="425"/>
      <c r="I42" s="425"/>
      <c r="J42" s="425"/>
      <c r="K42" s="425"/>
      <c r="L42" s="425"/>
      <c r="O42" s="141"/>
      <c r="P42" s="142"/>
      <c r="Q42" s="143"/>
    </row>
    <row r="43" spans="2:17" s="139" customFormat="1" ht="23.25" customHeight="1" x14ac:dyDescent="0.2">
      <c r="B43" s="845" t="s">
        <v>159</v>
      </c>
      <c r="C43" s="845" t="s">
        <v>307</v>
      </c>
      <c r="D43" s="845"/>
      <c r="E43" s="845" t="s">
        <v>308</v>
      </c>
      <c r="F43" s="845"/>
      <c r="G43" s="425"/>
      <c r="H43" s="425"/>
      <c r="I43" s="425"/>
      <c r="J43" s="425"/>
      <c r="K43" s="425"/>
      <c r="L43" s="425"/>
      <c r="O43" s="141"/>
      <c r="P43" s="142"/>
      <c r="Q43" s="143"/>
    </row>
    <row r="44" spans="2:17" s="139" customFormat="1" ht="26.25" customHeight="1" x14ac:dyDescent="0.2">
      <c r="B44" s="845"/>
      <c r="C44" s="851" t="s">
        <v>188</v>
      </c>
      <c r="D44" s="855" t="s">
        <v>83</v>
      </c>
      <c r="E44" s="851" t="s">
        <v>188</v>
      </c>
      <c r="F44" s="855" t="s">
        <v>83</v>
      </c>
      <c r="G44" s="425"/>
      <c r="H44" s="425"/>
      <c r="I44" s="425"/>
      <c r="J44" s="425"/>
      <c r="K44" s="425"/>
      <c r="L44" s="425"/>
      <c r="O44" s="141"/>
      <c r="P44" s="142"/>
      <c r="Q44" s="143"/>
    </row>
    <row r="45" spans="2:17" s="139" customFormat="1" ht="25.5" customHeight="1" x14ac:dyDescent="0.2">
      <c r="B45" s="845"/>
      <c r="C45" s="852"/>
      <c r="D45" s="855"/>
      <c r="E45" s="852"/>
      <c r="F45" s="855"/>
      <c r="G45" s="425"/>
      <c r="H45" s="425"/>
      <c r="I45" s="425"/>
      <c r="J45" s="425"/>
      <c r="K45" s="425"/>
      <c r="L45" s="425"/>
      <c r="O45" s="141"/>
      <c r="P45" s="142"/>
      <c r="Q45" s="143"/>
    </row>
    <row r="46" spans="2:17" s="139" customFormat="1" ht="24.75" customHeight="1" x14ac:dyDescent="0.2">
      <c r="B46" s="299" t="s">
        <v>160</v>
      </c>
      <c r="C46" s="72">
        <v>2.7000000000000001E-3</v>
      </c>
      <c r="D46" s="72">
        <v>5.9999999999999995E-4</v>
      </c>
      <c r="E46" s="72">
        <v>1.1999999999999999E-3</v>
      </c>
      <c r="F46" s="72">
        <v>2.7E-4</v>
      </c>
      <c r="G46" s="425"/>
      <c r="H46" s="425"/>
      <c r="I46" s="425"/>
      <c r="J46" s="425"/>
      <c r="K46" s="425"/>
      <c r="L46" s="425"/>
      <c r="O46" s="141"/>
      <c r="P46" s="142"/>
      <c r="Q46" s="143"/>
    </row>
    <row r="47" spans="2:17" s="139" customFormat="1" ht="24.75" customHeight="1" x14ac:dyDescent="0.2">
      <c r="B47" s="301" t="s">
        <v>161</v>
      </c>
      <c r="C47" s="73">
        <v>1.2500000000000001E-2</v>
      </c>
      <c r="D47" s="73">
        <v>1.1000000000000001E-3</v>
      </c>
      <c r="E47" s="73">
        <v>4.3E-3</v>
      </c>
      <c r="F47" s="73">
        <v>3.6999999999999999E-4</v>
      </c>
      <c r="G47" s="425"/>
      <c r="H47" s="425"/>
      <c r="I47" s="425"/>
      <c r="J47" s="425"/>
      <c r="K47" s="425"/>
      <c r="L47" s="425"/>
      <c r="O47" s="141"/>
      <c r="P47" s="142"/>
      <c r="Q47" s="143"/>
    </row>
    <row r="48" spans="2:17" s="139" customFormat="1" ht="24.75" customHeight="1" x14ac:dyDescent="0.2">
      <c r="B48" s="300" t="s">
        <v>162</v>
      </c>
      <c r="C48" s="74">
        <v>1.5E-3</v>
      </c>
      <c r="D48" s="74">
        <v>6.9999999999999994E-5</v>
      </c>
      <c r="E48" s="74">
        <v>5.5000000000000003E-4</v>
      </c>
      <c r="F48" s="74">
        <v>2.3E-5</v>
      </c>
      <c r="G48" s="444"/>
      <c r="H48" s="444"/>
      <c r="I48" s="444"/>
      <c r="J48" s="444"/>
      <c r="K48" s="444"/>
      <c r="L48" s="444"/>
      <c r="O48" s="141"/>
      <c r="P48" s="142"/>
      <c r="Q48" s="143"/>
    </row>
    <row r="49" spans="2:18" s="139" customFormat="1" ht="15.75" x14ac:dyDescent="0.2">
      <c r="B49" s="425"/>
      <c r="C49" s="425"/>
      <c r="D49" s="425"/>
      <c r="E49" s="425"/>
      <c r="F49" s="425"/>
      <c r="G49" s="425"/>
      <c r="H49" s="425"/>
      <c r="I49" s="425"/>
      <c r="J49" s="425"/>
      <c r="K49" s="425"/>
      <c r="L49" s="425"/>
      <c r="O49" s="141"/>
      <c r="P49" s="142"/>
      <c r="Q49" s="143"/>
    </row>
    <row r="50" spans="2:18" s="139" customFormat="1" ht="20.25" customHeight="1" x14ac:dyDescent="0.2">
      <c r="B50" s="802" t="s">
        <v>427</v>
      </c>
      <c r="C50" s="802"/>
      <c r="D50" s="802"/>
      <c r="E50" s="802"/>
      <c r="F50" s="802"/>
      <c r="G50" s="802"/>
      <c r="H50" s="802"/>
      <c r="I50" s="802"/>
      <c r="J50" s="802"/>
      <c r="K50" s="802"/>
      <c r="L50" s="802"/>
      <c r="O50" s="141"/>
      <c r="P50" s="142"/>
      <c r="Q50" s="143"/>
    </row>
    <row r="51" spans="2:18" s="139" customFormat="1" ht="20.25" customHeight="1" x14ac:dyDescent="0.2">
      <c r="O51" s="141"/>
      <c r="P51" s="142"/>
      <c r="Q51" s="143"/>
    </row>
    <row r="52" spans="2:18" s="139" customFormat="1" ht="36" customHeight="1" x14ac:dyDescent="0.2">
      <c r="B52" s="837" t="s">
        <v>163</v>
      </c>
      <c r="C52" s="837"/>
      <c r="D52" s="837"/>
      <c r="E52" s="849" t="s">
        <v>164</v>
      </c>
      <c r="F52" s="850"/>
      <c r="G52" s="425"/>
      <c r="H52" s="425"/>
      <c r="I52" s="425"/>
      <c r="J52" s="425"/>
      <c r="K52" s="425"/>
      <c r="L52" s="425"/>
      <c r="O52" s="141"/>
      <c r="P52" s="142"/>
      <c r="Q52" s="143"/>
    </row>
    <row r="53" spans="2:18" s="139" customFormat="1" ht="24" customHeight="1" x14ac:dyDescent="0.2">
      <c r="B53" s="834" t="s">
        <v>165</v>
      </c>
      <c r="C53" s="864" t="s">
        <v>472</v>
      </c>
      <c r="D53" s="864"/>
      <c r="E53" s="853">
        <v>0.5</v>
      </c>
      <c r="F53" s="854"/>
      <c r="G53" s="147"/>
      <c r="H53" s="147"/>
      <c r="I53" s="147"/>
      <c r="J53" s="147"/>
      <c r="K53" s="148"/>
      <c r="O53" s="141"/>
      <c r="P53" s="142"/>
      <c r="Q53" s="143"/>
    </row>
    <row r="54" spans="2:18" s="139" customFormat="1" ht="24" customHeight="1" x14ac:dyDescent="0.2">
      <c r="B54" s="835"/>
      <c r="C54" s="863" t="s">
        <v>473</v>
      </c>
      <c r="D54" s="863"/>
      <c r="E54" s="810">
        <v>0.75</v>
      </c>
      <c r="F54" s="811"/>
      <c r="G54" s="147"/>
      <c r="H54" s="147"/>
      <c r="I54" s="147"/>
      <c r="J54" s="147"/>
      <c r="K54" s="148"/>
      <c r="O54" s="141"/>
      <c r="P54" s="142"/>
      <c r="Q54" s="143"/>
    </row>
    <row r="55" spans="2:18" s="139" customFormat="1" ht="24" customHeight="1" x14ac:dyDescent="0.2">
      <c r="B55" s="836"/>
      <c r="C55" s="863" t="s">
        <v>166</v>
      </c>
      <c r="D55" s="863"/>
      <c r="E55" s="810">
        <v>0.7</v>
      </c>
      <c r="F55" s="811"/>
      <c r="G55" s="147"/>
      <c r="H55" s="147"/>
      <c r="I55" s="147"/>
      <c r="J55" s="147"/>
      <c r="K55" s="148"/>
      <c r="O55" s="141"/>
      <c r="P55" s="142"/>
      <c r="Q55" s="143"/>
    </row>
    <row r="56" spans="2:18" s="139" customFormat="1" ht="24" customHeight="1" x14ac:dyDescent="0.2">
      <c r="B56" s="836"/>
      <c r="C56" s="863" t="s">
        <v>475</v>
      </c>
      <c r="D56" s="863"/>
      <c r="E56" s="810">
        <v>0.85</v>
      </c>
      <c r="F56" s="811"/>
      <c r="G56" s="173"/>
      <c r="P56" s="141"/>
      <c r="Q56" s="142"/>
      <c r="R56" s="143"/>
    </row>
    <row r="57" spans="2:18" s="139" customFormat="1" ht="24" customHeight="1" x14ac:dyDescent="0.2">
      <c r="B57" s="836"/>
      <c r="C57" s="863" t="s">
        <v>476</v>
      </c>
      <c r="D57" s="863"/>
      <c r="E57" s="810">
        <v>0.95</v>
      </c>
      <c r="F57" s="811"/>
      <c r="G57" s="173"/>
      <c r="P57" s="141"/>
      <c r="Q57" s="142"/>
      <c r="R57" s="143"/>
    </row>
    <row r="58" spans="2:18" s="139" customFormat="1" ht="24" customHeight="1" x14ac:dyDescent="0.2">
      <c r="B58" s="884" t="s">
        <v>318</v>
      </c>
      <c r="C58" s="863" t="s">
        <v>440</v>
      </c>
      <c r="D58" s="863"/>
      <c r="E58" s="810">
        <v>0.5</v>
      </c>
      <c r="F58" s="811"/>
      <c r="G58" s="173"/>
      <c r="P58" s="141"/>
      <c r="Q58" s="142"/>
      <c r="R58" s="143"/>
    </row>
    <row r="59" spans="2:18" s="139" customFormat="1" ht="24" customHeight="1" x14ac:dyDescent="0.2">
      <c r="B59" s="885"/>
      <c r="C59" s="863" t="s">
        <v>472</v>
      </c>
      <c r="D59" s="863"/>
      <c r="E59" s="810">
        <v>0.75</v>
      </c>
      <c r="F59" s="811"/>
      <c r="G59" s="173"/>
      <c r="P59" s="141"/>
      <c r="Q59" s="142"/>
      <c r="R59" s="143"/>
    </row>
    <row r="60" spans="2:18" s="139" customFormat="1" ht="24" customHeight="1" x14ac:dyDescent="0.2">
      <c r="B60" s="885"/>
      <c r="C60" s="886" t="s">
        <v>473</v>
      </c>
      <c r="D60" s="887"/>
      <c r="E60" s="810">
        <v>0.9</v>
      </c>
      <c r="F60" s="811"/>
      <c r="G60" s="173"/>
      <c r="P60" s="141"/>
      <c r="Q60" s="142"/>
      <c r="R60" s="143"/>
    </row>
    <row r="61" spans="2:18" s="139" customFormat="1" ht="24" customHeight="1" x14ac:dyDescent="0.2">
      <c r="B61" s="835"/>
      <c r="C61" s="863" t="s">
        <v>476</v>
      </c>
      <c r="D61" s="863"/>
      <c r="E61" s="810">
        <v>0.95</v>
      </c>
      <c r="F61" s="811"/>
      <c r="G61" s="174"/>
      <c r="P61" s="141"/>
      <c r="Q61" s="142"/>
      <c r="R61" s="143"/>
    </row>
    <row r="62" spans="2:18" s="139" customFormat="1" ht="24" customHeight="1" x14ac:dyDescent="0.2">
      <c r="B62" s="298" t="s">
        <v>1</v>
      </c>
      <c r="C62" s="866" t="s">
        <v>167</v>
      </c>
      <c r="D62" s="866"/>
      <c r="E62" s="873">
        <v>0</v>
      </c>
      <c r="F62" s="874"/>
      <c r="G62" s="174"/>
      <c r="P62" s="141"/>
      <c r="Q62" s="142"/>
      <c r="R62" s="143"/>
    </row>
    <row r="63" spans="2:18" s="139" customFormat="1" ht="24.75" customHeight="1" x14ac:dyDescent="0.2">
      <c r="G63" s="174"/>
      <c r="P63" s="141"/>
      <c r="Q63" s="142"/>
      <c r="R63" s="143"/>
    </row>
    <row r="64" spans="2:18" s="139" customFormat="1" ht="24.75" customHeight="1" x14ac:dyDescent="0.2">
      <c r="B64" s="803" t="s">
        <v>428</v>
      </c>
      <c r="C64" s="803"/>
      <c r="D64" s="803"/>
      <c r="E64" s="803"/>
      <c r="F64" s="803"/>
      <c r="G64" s="803"/>
      <c r="H64" s="803"/>
      <c r="I64" s="803"/>
      <c r="J64" s="803"/>
      <c r="K64" s="803"/>
      <c r="L64" s="803"/>
      <c r="P64" s="141"/>
      <c r="Q64" s="142"/>
      <c r="R64" s="143"/>
    </row>
    <row r="65" spans="2:17" s="139" customFormat="1" ht="70.5" customHeight="1" x14ac:dyDescent="0.2">
      <c r="B65" s="832" t="s">
        <v>518</v>
      </c>
      <c r="C65" s="832"/>
      <c r="D65" s="832"/>
      <c r="E65" s="832"/>
      <c r="F65" s="832"/>
      <c r="G65" s="832"/>
      <c r="H65" s="832"/>
      <c r="I65" s="832"/>
      <c r="J65" s="832"/>
      <c r="K65" s="832"/>
      <c r="O65" s="141"/>
      <c r="P65" s="142"/>
      <c r="Q65" s="143"/>
    </row>
    <row r="66" spans="2:17" s="139" customFormat="1" ht="22.5" customHeight="1" x14ac:dyDescent="0.2">
      <c r="B66" s="169"/>
      <c r="C66" s="224"/>
      <c r="D66" s="224"/>
      <c r="E66" s="224"/>
      <c r="F66" s="224"/>
      <c r="G66" s="149"/>
      <c r="H66" s="225"/>
      <c r="I66" s="226"/>
      <c r="J66" s="227"/>
      <c r="K66" s="148"/>
      <c r="O66" s="141"/>
      <c r="P66" s="142"/>
      <c r="Q66" s="143"/>
    </row>
    <row r="67" spans="2:17" s="139" customFormat="1" ht="22.5" customHeight="1" x14ac:dyDescent="0.2">
      <c r="B67" s="2" t="s">
        <v>183</v>
      </c>
      <c r="C67" s="224"/>
      <c r="D67" s="224"/>
      <c r="E67" s="224"/>
      <c r="F67" s="224"/>
      <c r="G67" s="149"/>
      <c r="H67" s="149"/>
      <c r="I67" s="149"/>
      <c r="J67" s="149"/>
      <c r="K67" s="148"/>
      <c r="O67" s="141"/>
      <c r="P67" s="142"/>
      <c r="Q67" s="143"/>
    </row>
    <row r="68" spans="2:17" s="139" customFormat="1" ht="22.5" customHeight="1" x14ac:dyDescent="0.2">
      <c r="B68" s="2"/>
      <c r="C68" s="224"/>
      <c r="D68" s="224"/>
      <c r="E68" s="224"/>
      <c r="F68" s="224"/>
      <c r="G68" s="149"/>
      <c r="H68" s="149"/>
      <c r="I68" s="149"/>
      <c r="J68" s="149"/>
      <c r="K68" s="148"/>
      <c r="O68" s="141"/>
      <c r="P68" s="142"/>
      <c r="Q68" s="143"/>
    </row>
    <row r="69" spans="2:17" s="139" customFormat="1" ht="46.5" customHeight="1" x14ac:dyDescent="0.2">
      <c r="B69" s="894" t="s">
        <v>40</v>
      </c>
      <c r="C69" s="895"/>
      <c r="D69" s="895"/>
      <c r="E69" s="895"/>
      <c r="F69" s="895"/>
      <c r="G69" s="896"/>
      <c r="H69" s="198" t="s">
        <v>41</v>
      </c>
      <c r="I69" s="747" t="s">
        <v>390</v>
      </c>
      <c r="J69" s="780"/>
      <c r="K69" s="748"/>
      <c r="N69" s="141"/>
      <c r="O69" s="142"/>
      <c r="P69" s="143"/>
    </row>
    <row r="70" spans="2:17" s="139" customFormat="1" ht="31.5" customHeight="1" x14ac:dyDescent="0.2">
      <c r="B70" s="897" t="s">
        <v>72</v>
      </c>
      <c r="C70" s="898"/>
      <c r="D70" s="898"/>
      <c r="E70" s="898"/>
      <c r="F70" s="898"/>
      <c r="G70" s="899"/>
      <c r="H70" s="199" t="s">
        <v>37</v>
      </c>
      <c r="I70" s="804">
        <f>VLOOKUP(B70,'Fiche de renseignements'!$B$64:$D$187,3,FALSE)</f>
        <v>0</v>
      </c>
      <c r="J70" s="805"/>
      <c r="K70" s="806"/>
      <c r="O70" s="141"/>
      <c r="P70" s="142"/>
      <c r="Q70" s="143"/>
    </row>
    <row r="71" spans="2:17" s="139" customFormat="1" ht="31.5" customHeight="1" x14ac:dyDescent="0.2">
      <c r="B71" s="829" t="s">
        <v>81</v>
      </c>
      <c r="C71" s="830"/>
      <c r="D71" s="830"/>
      <c r="E71" s="830"/>
      <c r="F71" s="830"/>
      <c r="G71" s="831"/>
      <c r="H71" s="200" t="s">
        <v>1</v>
      </c>
      <c r="I71" s="807">
        <f>'Fiche de renseignements'!$C$10</f>
        <v>0</v>
      </c>
      <c r="J71" s="808"/>
      <c r="K71" s="809"/>
      <c r="O71" s="141"/>
      <c r="P71" s="142"/>
      <c r="Q71" s="143"/>
    </row>
    <row r="72" spans="2:17" s="139" customFormat="1" ht="31.5" customHeight="1" x14ac:dyDescent="0.2">
      <c r="B72" s="829" t="s">
        <v>73</v>
      </c>
      <c r="C72" s="830"/>
      <c r="D72" s="830"/>
      <c r="E72" s="830"/>
      <c r="F72" s="830"/>
      <c r="G72" s="831"/>
      <c r="H72" s="200" t="s">
        <v>304</v>
      </c>
      <c r="I72" s="799">
        <f>VLOOKUP(B72,'Fiche de renseignements'!$B$64:$D$187,3,FALSE)</f>
        <v>0</v>
      </c>
      <c r="J72" s="800"/>
      <c r="K72" s="801"/>
      <c r="O72" s="141"/>
      <c r="P72" s="142"/>
      <c r="Q72" s="143"/>
    </row>
    <row r="73" spans="2:17" s="139" customFormat="1" ht="31.5" customHeight="1" x14ac:dyDescent="0.2">
      <c r="B73" s="793" t="s">
        <v>551</v>
      </c>
      <c r="C73" s="794"/>
      <c r="D73" s="794"/>
      <c r="E73" s="794"/>
      <c r="F73" s="794"/>
      <c r="G73" s="795"/>
      <c r="H73" s="625" t="s">
        <v>1</v>
      </c>
      <c r="I73" s="796">
        <f>'Fiche de renseignements'!C11</f>
        <v>0</v>
      </c>
      <c r="J73" s="797"/>
      <c r="K73" s="798"/>
      <c r="O73" s="141"/>
      <c r="P73" s="142"/>
      <c r="Q73" s="143"/>
    </row>
    <row r="74" spans="2:17" s="139" customFormat="1" ht="31.5" customHeight="1" x14ac:dyDescent="0.2">
      <c r="B74" s="888" t="s">
        <v>461</v>
      </c>
      <c r="C74" s="889"/>
      <c r="D74" s="889"/>
      <c r="E74" s="889"/>
      <c r="F74" s="889"/>
      <c r="G74" s="890"/>
      <c r="H74" s="395" t="s">
        <v>1</v>
      </c>
      <c r="I74" s="870">
        <f>VLOOKUP(B74,'Fiche de renseignements'!$B$64:$D$187,3,FALSE)</f>
        <v>0</v>
      </c>
      <c r="J74" s="871"/>
      <c r="K74" s="872"/>
      <c r="L74" s="146"/>
      <c r="O74" s="141"/>
      <c r="P74" s="142"/>
      <c r="Q74" s="143"/>
    </row>
    <row r="75" spans="2:17" s="139" customFormat="1" ht="31.5" customHeight="1" x14ac:dyDescent="0.2">
      <c r="B75" s="891" t="s">
        <v>462</v>
      </c>
      <c r="C75" s="892"/>
      <c r="D75" s="892"/>
      <c r="E75" s="892"/>
      <c r="F75" s="892"/>
      <c r="G75" s="893"/>
      <c r="H75" s="394" t="s">
        <v>1</v>
      </c>
      <c r="I75" s="875">
        <f>VLOOKUP(B75,'Fiche de renseignements'!$B$64:$D$187,3,FALSE)</f>
        <v>0</v>
      </c>
      <c r="J75" s="876"/>
      <c r="K75" s="877"/>
      <c r="L75" s="146"/>
      <c r="O75" s="141"/>
      <c r="P75" s="142"/>
      <c r="Q75" s="143"/>
    </row>
    <row r="76" spans="2:17" s="139" customFormat="1" ht="31.5" customHeight="1" x14ac:dyDescent="0.2">
      <c r="B76" s="820" t="s">
        <v>463</v>
      </c>
      <c r="C76" s="821"/>
      <c r="D76" s="821"/>
      <c r="E76" s="821"/>
      <c r="F76" s="821"/>
      <c r="G76" s="822"/>
      <c r="H76" s="393" t="s">
        <v>1</v>
      </c>
      <c r="I76" s="878">
        <f>VLOOKUP(B76,'Fiche de renseignements'!$B$64:$D$187,3,FALSE)</f>
        <v>0</v>
      </c>
      <c r="J76" s="879"/>
      <c r="K76" s="880"/>
      <c r="L76" s="146"/>
      <c r="O76" s="141"/>
      <c r="P76" s="142"/>
      <c r="Q76" s="143"/>
    </row>
    <row r="77" spans="2:17" s="139" customFormat="1" ht="31.5" customHeight="1" x14ac:dyDescent="0.2">
      <c r="B77" s="823" t="s">
        <v>464</v>
      </c>
      <c r="C77" s="824"/>
      <c r="D77" s="824"/>
      <c r="E77" s="824"/>
      <c r="F77" s="824"/>
      <c r="G77" s="825"/>
      <c r="H77" s="396" t="s">
        <v>1</v>
      </c>
      <c r="I77" s="881">
        <f>VLOOKUP(B77,'Fiche de renseignements'!$B$64:$D$187,3,FALSE)</f>
        <v>0</v>
      </c>
      <c r="J77" s="882"/>
      <c r="K77" s="883"/>
      <c r="L77" s="151"/>
    </row>
    <row r="78" spans="2:17" s="139" customFormat="1" ht="31.5" customHeight="1" x14ac:dyDescent="0.2">
      <c r="B78" s="826" t="s">
        <v>465</v>
      </c>
      <c r="C78" s="827"/>
      <c r="D78" s="827"/>
      <c r="E78" s="827"/>
      <c r="F78" s="827"/>
      <c r="G78" s="828"/>
      <c r="H78" s="392" t="s">
        <v>1</v>
      </c>
      <c r="I78" s="814">
        <f>VLOOKUP(B78,'Fiche de renseignements'!$B$64:$D$187,3,FALSE)</f>
        <v>0</v>
      </c>
      <c r="J78" s="815"/>
      <c r="K78" s="816"/>
      <c r="L78" s="151"/>
    </row>
    <row r="79" spans="2:17" s="139" customFormat="1" ht="31.5" customHeight="1" x14ac:dyDescent="0.2">
      <c r="B79" s="867" t="s">
        <v>466</v>
      </c>
      <c r="C79" s="868"/>
      <c r="D79" s="868"/>
      <c r="E79" s="868"/>
      <c r="F79" s="868"/>
      <c r="G79" s="869"/>
      <c r="H79" s="397" t="s">
        <v>1</v>
      </c>
      <c r="I79" s="900">
        <f>VLOOKUP(B79,'Fiche de renseignements'!$B$64:$D$187,3,FALSE)</f>
        <v>0</v>
      </c>
      <c r="J79" s="901"/>
      <c r="K79" s="902"/>
      <c r="L79" s="151"/>
    </row>
    <row r="80" spans="2:17" s="139" customFormat="1" ht="15.75" x14ac:dyDescent="0.2">
      <c r="B80" s="222"/>
      <c r="D80" s="152"/>
      <c r="E80" s="141"/>
      <c r="F80" s="141"/>
      <c r="G80" s="142"/>
      <c r="H80" s="142"/>
      <c r="I80" s="142"/>
      <c r="J80" s="143"/>
      <c r="K80" s="153"/>
      <c r="L80" s="151"/>
    </row>
    <row r="81" spans="1:17" s="139" customFormat="1" ht="70.5" customHeight="1" x14ac:dyDescent="0.2">
      <c r="A81" s="813" t="s">
        <v>358</v>
      </c>
      <c r="B81" s="813"/>
      <c r="C81" s="813"/>
      <c r="D81" s="813"/>
      <c r="E81" s="813"/>
      <c r="F81" s="813"/>
      <c r="G81" s="813"/>
      <c r="H81" s="813"/>
      <c r="I81" s="813"/>
      <c r="J81" s="813"/>
      <c r="K81" s="813"/>
      <c r="L81" s="813"/>
      <c r="M81" s="151"/>
    </row>
    <row r="82" spans="1:17" s="139" customFormat="1" ht="15" x14ac:dyDescent="0.2">
      <c r="A82" s="424"/>
      <c r="B82" s="424"/>
      <c r="C82" s="424"/>
      <c r="D82" s="424"/>
      <c r="E82" s="424"/>
      <c r="F82" s="424"/>
      <c r="G82" s="424"/>
      <c r="H82" s="424"/>
      <c r="I82" s="424"/>
      <c r="J82" s="424"/>
      <c r="K82" s="424"/>
      <c r="L82" s="424"/>
      <c r="M82" s="151"/>
    </row>
    <row r="83" spans="1:17" s="139" customFormat="1" ht="15" x14ac:dyDescent="0.2">
      <c r="A83" s="424"/>
      <c r="B83" s="424"/>
      <c r="C83" s="424"/>
      <c r="D83" s="424"/>
      <c r="E83" s="424"/>
      <c r="F83" s="424"/>
      <c r="G83" s="424"/>
      <c r="H83" s="424"/>
      <c r="I83" s="424"/>
      <c r="J83" s="424"/>
      <c r="K83" s="424"/>
      <c r="L83" s="424"/>
      <c r="M83" s="151"/>
    </row>
    <row r="84" spans="1:17" s="139" customFormat="1" ht="22.5" customHeight="1" x14ac:dyDescent="0.2">
      <c r="B84" s="437" t="s">
        <v>421</v>
      </c>
      <c r="C84" s="438"/>
      <c r="D84" s="438"/>
      <c r="E84" s="438"/>
      <c r="F84" s="438"/>
      <c r="G84" s="438"/>
      <c r="H84" s="438"/>
      <c r="I84" s="438"/>
      <c r="J84" s="438"/>
      <c r="K84" s="439"/>
      <c r="L84" s="440"/>
      <c r="M84" s="440"/>
      <c r="N84" s="440"/>
      <c r="O84" s="141"/>
      <c r="P84" s="142"/>
      <c r="Q84" s="143"/>
    </row>
    <row r="85" spans="1:17" s="139" customFormat="1" ht="15" x14ac:dyDescent="0.2">
      <c r="A85" s="424"/>
      <c r="B85" s="424"/>
      <c r="C85" s="424"/>
      <c r="D85" s="424"/>
      <c r="E85" s="424"/>
      <c r="F85" s="424"/>
      <c r="G85" s="424"/>
      <c r="H85" s="424"/>
      <c r="I85" s="424"/>
      <c r="J85" s="424"/>
      <c r="K85" s="424"/>
      <c r="L85" s="424"/>
      <c r="M85" s="151"/>
    </row>
    <row r="86" spans="1:17" s="340" customFormat="1" ht="51.75" customHeight="1" x14ac:dyDescent="0.2">
      <c r="B86" s="817" t="s">
        <v>47</v>
      </c>
      <c r="C86" s="818"/>
      <c r="D86" s="819"/>
      <c r="E86" s="747" t="s">
        <v>422</v>
      </c>
      <c r="F86" s="780"/>
      <c r="G86" s="780"/>
      <c r="H86" s="150" t="s">
        <v>423</v>
      </c>
      <c r="I86" s="424"/>
      <c r="J86" s="139"/>
      <c r="K86" s="141"/>
      <c r="L86" s="446"/>
      <c r="M86" s="446"/>
      <c r="N86" s="446"/>
      <c r="O86" s="441"/>
      <c r="P86" s="442"/>
      <c r="Q86" s="443"/>
    </row>
    <row r="87" spans="1:17" s="340" customFormat="1" ht="22.5" customHeight="1" x14ac:dyDescent="0.2">
      <c r="B87" s="838" t="s">
        <v>15</v>
      </c>
      <c r="C87" s="839"/>
      <c r="D87" s="839"/>
      <c r="E87" s="840">
        <f>H87/1000</f>
        <v>0</v>
      </c>
      <c r="F87" s="841"/>
      <c r="G87" s="841"/>
      <c r="H87" s="244">
        <f>'Fiche de renseignements'!D71</f>
        <v>0</v>
      </c>
      <c r="I87" s="424"/>
      <c r="J87" s="139"/>
      <c r="K87" s="141"/>
      <c r="L87" s="447"/>
      <c r="M87" s="447"/>
      <c r="N87" s="447"/>
      <c r="O87" s="441"/>
      <c r="P87" s="442"/>
      <c r="Q87" s="443"/>
    </row>
    <row r="88" spans="1:17" s="340" customFormat="1" ht="22.5" customHeight="1" x14ac:dyDescent="0.2">
      <c r="B88" s="856" t="s">
        <v>63</v>
      </c>
      <c r="C88" s="857"/>
      <c r="D88" s="857"/>
      <c r="E88" s="858">
        <f>H88/1000</f>
        <v>0</v>
      </c>
      <c r="F88" s="859"/>
      <c r="G88" s="859"/>
      <c r="H88" s="245">
        <f>'Fiche de renseignements'!D72</f>
        <v>0</v>
      </c>
      <c r="I88" s="424"/>
      <c r="J88" s="139"/>
      <c r="K88" s="141"/>
      <c r="L88" s="447"/>
      <c r="M88" s="447"/>
      <c r="N88" s="447"/>
      <c r="O88" s="441"/>
      <c r="P88" s="442"/>
      <c r="Q88" s="443"/>
    </row>
    <row r="89" spans="1:17" s="139" customFormat="1" ht="15" x14ac:dyDescent="0.2">
      <c r="A89" s="424"/>
      <c r="B89" s="424"/>
      <c r="C89" s="424"/>
      <c r="D89" s="424"/>
      <c r="E89" s="424"/>
      <c r="F89" s="424"/>
      <c r="G89" s="424"/>
      <c r="H89" s="424"/>
      <c r="I89" s="424"/>
      <c r="J89" s="424"/>
      <c r="K89" s="424"/>
      <c r="L89" s="424"/>
      <c r="M89" s="151"/>
    </row>
    <row r="90" spans="1:17" s="139" customFormat="1" ht="15" x14ac:dyDescent="0.2">
      <c r="A90" s="424"/>
      <c r="B90" s="424"/>
      <c r="C90" s="424"/>
      <c r="D90" s="424"/>
      <c r="E90" s="424"/>
      <c r="F90" s="424"/>
      <c r="G90" s="424"/>
      <c r="H90" s="424"/>
      <c r="I90" s="424"/>
      <c r="J90" s="424"/>
      <c r="K90" s="424"/>
      <c r="L90" s="424"/>
      <c r="M90" s="151"/>
    </row>
    <row r="91" spans="1:17" s="139" customFormat="1" ht="15" x14ac:dyDescent="0.2">
      <c r="A91" s="424"/>
      <c r="B91" s="445" t="s">
        <v>431</v>
      </c>
      <c r="C91" s="424"/>
      <c r="D91" s="424"/>
      <c r="E91" s="424"/>
      <c r="F91" s="424"/>
      <c r="G91" s="424"/>
      <c r="H91" s="424"/>
      <c r="I91" s="424"/>
      <c r="J91" s="424"/>
      <c r="K91" s="424"/>
      <c r="L91" s="424"/>
      <c r="M91" s="151"/>
    </row>
    <row r="92" spans="1:17" s="139" customFormat="1" ht="20.25" customHeight="1" x14ac:dyDescent="0.2">
      <c r="A92" s="424"/>
      <c r="B92" s="445" t="s">
        <v>432</v>
      </c>
      <c r="C92" s="424"/>
      <c r="D92" s="424"/>
      <c r="E92" s="424"/>
      <c r="F92" s="424"/>
      <c r="G92" s="424"/>
      <c r="H92" s="424"/>
      <c r="I92" s="424"/>
      <c r="J92" s="424"/>
      <c r="K92" s="424"/>
      <c r="L92" s="424"/>
      <c r="M92" s="151"/>
    </row>
    <row r="93" spans="1:17" s="139" customFormat="1" ht="15" x14ac:dyDescent="0.2">
      <c r="A93" s="424"/>
      <c r="B93" s="424"/>
      <c r="C93" s="424"/>
      <c r="D93" s="424"/>
      <c r="E93" s="424"/>
      <c r="F93" s="424"/>
      <c r="G93" s="424"/>
      <c r="H93" s="424"/>
      <c r="I93" s="424"/>
      <c r="J93" s="424"/>
      <c r="K93" s="424"/>
      <c r="L93" s="424"/>
      <c r="M93" s="151"/>
    </row>
    <row r="94" spans="1:17" s="139" customFormat="1" ht="15" x14ac:dyDescent="0.2">
      <c r="A94" s="424"/>
      <c r="B94" s="424"/>
      <c r="C94" s="424"/>
      <c r="D94" s="424"/>
      <c r="E94" s="424"/>
      <c r="F94" s="424"/>
      <c r="G94" s="424"/>
      <c r="H94" s="424"/>
      <c r="I94" s="424"/>
      <c r="J94" s="424"/>
      <c r="K94" s="424"/>
      <c r="L94" s="424"/>
      <c r="M94" s="151"/>
    </row>
    <row r="95" spans="1:17" s="139" customFormat="1" ht="15" x14ac:dyDescent="0.2">
      <c r="A95" s="424"/>
      <c r="B95" s="424"/>
      <c r="C95" s="424"/>
      <c r="D95" s="424"/>
      <c r="E95" s="424"/>
      <c r="F95" s="424"/>
      <c r="G95" s="424"/>
      <c r="H95" s="424"/>
      <c r="I95" s="424"/>
      <c r="J95" s="424"/>
      <c r="K95" s="424"/>
      <c r="L95" s="424"/>
      <c r="M95" s="151"/>
    </row>
    <row r="96" spans="1:17" s="139" customFormat="1" ht="15" x14ac:dyDescent="0.2">
      <c r="A96" s="424"/>
      <c r="B96" s="424"/>
      <c r="C96" s="424"/>
      <c r="D96" s="424"/>
      <c r="E96" s="424"/>
      <c r="F96" s="424"/>
      <c r="G96" s="424"/>
      <c r="H96" s="424"/>
      <c r="I96" s="424"/>
      <c r="J96" s="424"/>
      <c r="K96" s="424"/>
      <c r="L96" s="424"/>
      <c r="M96" s="151"/>
    </row>
    <row r="97" spans="1:13" s="139" customFormat="1" ht="15" x14ac:dyDescent="0.2">
      <c r="A97" s="424"/>
      <c r="B97" s="424"/>
      <c r="C97" s="424"/>
      <c r="D97" s="424"/>
      <c r="E97" s="424"/>
      <c r="F97" s="424"/>
      <c r="G97" s="424"/>
      <c r="H97" s="424"/>
      <c r="I97" s="424"/>
      <c r="J97" s="424"/>
      <c r="K97" s="424"/>
      <c r="L97" s="424"/>
      <c r="M97" s="151"/>
    </row>
    <row r="98" spans="1:13" s="139" customFormat="1" ht="15" x14ac:dyDescent="0.2">
      <c r="A98" s="424"/>
      <c r="B98" s="424"/>
      <c r="C98" s="424"/>
      <c r="D98" s="424"/>
      <c r="E98" s="424"/>
      <c r="F98" s="424"/>
      <c r="G98" s="424"/>
      <c r="H98" s="424"/>
      <c r="I98" s="424"/>
      <c r="J98" s="424"/>
      <c r="K98" s="424"/>
      <c r="L98" s="424"/>
      <c r="M98" s="151"/>
    </row>
    <row r="99" spans="1:13" s="139" customFormat="1" ht="15" x14ac:dyDescent="0.2">
      <c r="A99" s="424"/>
      <c r="B99" s="424"/>
      <c r="C99" s="424"/>
      <c r="D99" s="424"/>
      <c r="E99" s="424"/>
      <c r="F99" s="424"/>
      <c r="G99" s="424"/>
      <c r="H99" s="424"/>
      <c r="I99" s="424"/>
      <c r="J99" s="424"/>
      <c r="K99" s="424"/>
      <c r="L99" s="424"/>
      <c r="M99" s="151"/>
    </row>
    <row r="100" spans="1:13" s="139" customFormat="1" ht="15" x14ac:dyDescent="0.2">
      <c r="A100" s="424"/>
      <c r="B100" s="424"/>
      <c r="C100" s="424"/>
      <c r="D100" s="424"/>
      <c r="E100" s="424"/>
      <c r="F100" s="424"/>
      <c r="G100" s="424"/>
      <c r="H100" s="424"/>
      <c r="I100" s="424"/>
      <c r="J100" s="424"/>
      <c r="K100" s="424"/>
      <c r="L100" s="424"/>
      <c r="M100" s="151"/>
    </row>
    <row r="101" spans="1:13" s="139" customFormat="1" ht="15" x14ac:dyDescent="0.2">
      <c r="A101" s="424"/>
      <c r="B101" s="424"/>
      <c r="C101" s="424"/>
      <c r="D101" s="424"/>
      <c r="E101" s="424"/>
      <c r="F101" s="424"/>
      <c r="G101" s="424"/>
      <c r="H101" s="424"/>
      <c r="I101" s="424"/>
      <c r="J101" s="424"/>
      <c r="K101" s="424"/>
      <c r="L101" s="424"/>
      <c r="M101" s="151"/>
    </row>
    <row r="102" spans="1:13" s="139" customFormat="1" ht="15" x14ac:dyDescent="0.2">
      <c r="A102" s="424"/>
      <c r="B102" s="424"/>
      <c r="C102" s="424"/>
      <c r="D102" s="424"/>
      <c r="E102" s="424"/>
      <c r="F102" s="424"/>
      <c r="G102" s="424"/>
      <c r="H102" s="424"/>
      <c r="I102" s="424"/>
      <c r="J102" s="424"/>
      <c r="K102" s="424"/>
      <c r="L102" s="424"/>
      <c r="M102" s="151"/>
    </row>
    <row r="103" spans="1:13" s="139" customFormat="1" ht="35.25" customHeight="1" x14ac:dyDescent="0.2">
      <c r="A103" s="424"/>
      <c r="B103" s="802" t="s">
        <v>433</v>
      </c>
      <c r="C103" s="802"/>
      <c r="D103" s="802"/>
      <c r="E103" s="802"/>
      <c r="F103" s="802"/>
      <c r="G103" s="802"/>
      <c r="H103" s="802"/>
      <c r="I103" s="802"/>
      <c r="J103" s="802"/>
      <c r="K103" s="802"/>
      <c r="L103" s="802"/>
      <c r="M103" s="151"/>
    </row>
    <row r="104" spans="1:13" s="139" customFormat="1" ht="23.25" customHeight="1" x14ac:dyDescent="0.2">
      <c r="A104" s="424"/>
      <c r="B104" s="833" t="s">
        <v>434</v>
      </c>
      <c r="C104" s="833"/>
      <c r="D104" s="833"/>
      <c r="E104" s="833"/>
      <c r="F104" s="833"/>
      <c r="G104" s="833"/>
      <c r="H104" s="833"/>
      <c r="I104" s="833"/>
      <c r="J104" s="833"/>
      <c r="K104" s="833"/>
      <c r="L104" s="833"/>
      <c r="M104" s="151"/>
    </row>
    <row r="105" spans="1:13" s="139" customFormat="1" ht="23.25" customHeight="1" x14ac:dyDescent="0.2">
      <c r="A105" s="424"/>
      <c r="B105" s="833" t="s">
        <v>435</v>
      </c>
      <c r="C105" s="833"/>
      <c r="D105" s="833"/>
      <c r="E105" s="833"/>
      <c r="F105" s="833"/>
      <c r="G105" s="833"/>
      <c r="H105" s="833"/>
      <c r="I105" s="833"/>
      <c r="J105" s="833"/>
      <c r="K105" s="833"/>
      <c r="L105" s="833"/>
      <c r="M105" s="151"/>
    </row>
    <row r="106" spans="1:13" s="139" customFormat="1" ht="23.25" customHeight="1" x14ac:dyDescent="0.2">
      <c r="A106" s="424"/>
      <c r="B106" s="833" t="s">
        <v>436</v>
      </c>
      <c r="C106" s="833"/>
      <c r="D106" s="833"/>
      <c r="E106" s="833"/>
      <c r="F106" s="833"/>
      <c r="G106" s="833"/>
      <c r="H106" s="833"/>
      <c r="I106" s="833"/>
      <c r="J106" s="833"/>
      <c r="K106" s="833"/>
      <c r="L106" s="833"/>
      <c r="M106" s="151"/>
    </row>
    <row r="107" spans="1:13" s="139" customFormat="1" ht="15" x14ac:dyDescent="0.2">
      <c r="A107" s="424"/>
      <c r="B107" s="424"/>
      <c r="C107" s="424"/>
      <c r="D107" s="424"/>
      <c r="E107" s="424"/>
      <c r="F107" s="424"/>
      <c r="G107" s="424"/>
      <c r="H107" s="424"/>
      <c r="I107" s="424"/>
      <c r="J107" s="424"/>
      <c r="K107" s="424"/>
      <c r="L107" s="424"/>
      <c r="M107" s="151"/>
    </row>
    <row r="108" spans="1:13" s="139" customFormat="1" ht="15" x14ac:dyDescent="0.2">
      <c r="A108" s="424"/>
      <c r="B108" s="445" t="s">
        <v>437</v>
      </c>
      <c r="C108" s="424"/>
      <c r="D108" s="424"/>
      <c r="E108" s="424"/>
      <c r="F108" s="424"/>
      <c r="G108" s="424"/>
      <c r="H108" s="424"/>
      <c r="I108" s="424"/>
      <c r="J108" s="424"/>
      <c r="K108" s="424"/>
      <c r="L108" s="424"/>
      <c r="M108" s="151"/>
    </row>
    <row r="109" spans="1:13" s="139" customFormat="1" ht="15" x14ac:dyDescent="0.2">
      <c r="A109" s="424"/>
      <c r="B109" s="424"/>
      <c r="C109" s="424"/>
      <c r="D109" s="424"/>
      <c r="E109" s="424"/>
      <c r="F109" s="424"/>
      <c r="G109" s="424"/>
      <c r="H109" s="424"/>
      <c r="I109" s="424"/>
      <c r="J109" s="424"/>
      <c r="K109" s="424"/>
      <c r="L109" s="424"/>
      <c r="M109" s="151"/>
    </row>
    <row r="110" spans="1:13" s="139" customFormat="1" ht="15" x14ac:dyDescent="0.2">
      <c r="A110" s="424"/>
      <c r="B110" s="424"/>
      <c r="C110" s="424"/>
      <c r="D110" s="424"/>
      <c r="E110" s="424"/>
      <c r="F110" s="424"/>
      <c r="G110" s="424"/>
      <c r="H110" s="424"/>
      <c r="I110" s="424"/>
      <c r="J110" s="424"/>
      <c r="K110" s="424"/>
      <c r="L110" s="424"/>
      <c r="M110" s="151"/>
    </row>
    <row r="111" spans="1:13" s="139" customFormat="1" ht="15" x14ac:dyDescent="0.2">
      <c r="A111" s="424"/>
      <c r="B111" s="424"/>
      <c r="C111" s="424"/>
      <c r="D111" s="424"/>
      <c r="E111" s="424"/>
      <c r="F111" s="424"/>
      <c r="G111" s="424"/>
      <c r="H111" s="424"/>
      <c r="I111" s="424"/>
      <c r="J111" s="424"/>
      <c r="K111" s="424"/>
      <c r="L111" s="424"/>
      <c r="M111" s="151"/>
    </row>
    <row r="112" spans="1:13" s="139" customFormat="1" ht="15" x14ac:dyDescent="0.2">
      <c r="A112" s="424"/>
      <c r="B112" s="424"/>
      <c r="C112" s="424"/>
      <c r="D112" s="424"/>
      <c r="E112" s="424"/>
      <c r="F112" s="424"/>
      <c r="G112" s="424"/>
      <c r="H112" s="424"/>
      <c r="I112" s="424"/>
      <c r="J112" s="424"/>
      <c r="K112" s="424"/>
      <c r="L112" s="424"/>
      <c r="M112" s="151"/>
    </row>
    <row r="113" spans="2:13" s="139" customFormat="1" ht="15.75" x14ac:dyDescent="0.2">
      <c r="B113" s="222"/>
      <c r="D113" s="152"/>
      <c r="E113" s="141"/>
      <c r="F113" s="141"/>
      <c r="G113" s="142"/>
      <c r="H113" s="142"/>
      <c r="I113" s="142"/>
      <c r="J113" s="142"/>
      <c r="K113" s="143"/>
      <c r="L113" s="153"/>
      <c r="M113" s="151"/>
    </row>
    <row r="114" spans="2:13" s="139" customFormat="1" ht="15.75" x14ac:dyDescent="0.2">
      <c r="B114" s="222"/>
      <c r="D114" s="152"/>
      <c r="E114" s="141"/>
      <c r="F114" s="141"/>
      <c r="G114" s="142"/>
      <c r="H114" s="142"/>
      <c r="I114" s="142"/>
      <c r="J114" s="142"/>
      <c r="K114" s="143"/>
      <c r="L114" s="153"/>
      <c r="M114" s="151"/>
    </row>
    <row r="115" spans="2:13" s="139" customFormat="1" ht="15.75" x14ac:dyDescent="0.2">
      <c r="D115" s="152"/>
      <c r="E115" s="141"/>
      <c r="F115" s="141"/>
      <c r="G115" s="142"/>
      <c r="H115" s="142"/>
      <c r="I115" s="142"/>
      <c r="J115" s="142"/>
      <c r="K115" s="143"/>
      <c r="L115" s="153"/>
      <c r="M115" s="151"/>
    </row>
    <row r="116" spans="2:13" s="139" customFormat="1" ht="15.75" x14ac:dyDescent="0.2">
      <c r="D116" s="152"/>
      <c r="E116" s="141"/>
      <c r="F116" s="141"/>
      <c r="G116" s="142"/>
      <c r="H116" s="142"/>
      <c r="I116" s="142"/>
      <c r="J116" s="142"/>
      <c r="K116" s="143"/>
      <c r="L116" s="153"/>
      <c r="M116" s="151"/>
    </row>
    <row r="117" spans="2:13" s="139" customFormat="1" ht="15.75" x14ac:dyDescent="0.2">
      <c r="D117" s="152"/>
      <c r="E117" s="141"/>
      <c r="F117" s="141"/>
      <c r="G117" s="142"/>
      <c r="H117" s="142"/>
      <c r="I117" s="142"/>
      <c r="J117" s="142"/>
      <c r="K117" s="143"/>
      <c r="L117" s="153"/>
      <c r="M117" s="151"/>
    </row>
    <row r="118" spans="2:13" s="139" customFormat="1" ht="15.75" x14ac:dyDescent="0.2">
      <c r="D118" s="152"/>
      <c r="E118" s="141"/>
      <c r="F118" s="141"/>
      <c r="G118" s="142"/>
      <c r="H118" s="142"/>
      <c r="I118" s="142"/>
      <c r="J118" s="142"/>
      <c r="K118" s="143"/>
      <c r="L118" s="153"/>
      <c r="M118" s="151"/>
    </row>
    <row r="119" spans="2:13" s="139" customFormat="1" ht="35.25" customHeight="1" x14ac:dyDescent="0.2">
      <c r="B119" s="802" t="s">
        <v>433</v>
      </c>
      <c r="C119" s="802"/>
      <c r="D119" s="802"/>
      <c r="E119" s="802"/>
      <c r="F119" s="802"/>
      <c r="G119" s="802"/>
      <c r="H119" s="802"/>
      <c r="I119" s="802"/>
      <c r="J119" s="802"/>
      <c r="K119" s="802"/>
      <c r="L119" s="802"/>
      <c r="M119" s="151"/>
    </row>
    <row r="120" spans="2:13" s="139" customFormat="1" ht="21" customHeight="1" x14ac:dyDescent="0.2">
      <c r="B120" s="833" t="s">
        <v>438</v>
      </c>
      <c r="C120" s="833"/>
      <c r="D120" s="833"/>
      <c r="E120" s="833"/>
      <c r="F120" s="833"/>
      <c r="G120" s="833"/>
      <c r="H120" s="833"/>
      <c r="I120" s="833"/>
      <c r="J120" s="833"/>
      <c r="K120" s="833"/>
      <c r="L120" s="833"/>
      <c r="M120" s="151"/>
    </row>
    <row r="121" spans="2:13" s="139" customFormat="1" ht="21" customHeight="1" x14ac:dyDescent="0.2">
      <c r="B121" s="833" t="s">
        <v>439</v>
      </c>
      <c r="C121" s="833"/>
      <c r="D121" s="833"/>
      <c r="E121" s="833"/>
      <c r="F121" s="833"/>
      <c r="G121" s="833"/>
      <c r="H121" s="833"/>
      <c r="I121" s="833"/>
      <c r="J121" s="833"/>
      <c r="K121" s="833"/>
      <c r="L121" s="833"/>
      <c r="M121" s="151"/>
    </row>
    <row r="122" spans="2:13" s="139" customFormat="1" ht="21" customHeight="1" x14ac:dyDescent="0.2">
      <c r="B122" s="833" t="s">
        <v>436</v>
      </c>
      <c r="C122" s="833"/>
      <c r="D122" s="833"/>
      <c r="E122" s="833"/>
      <c r="F122" s="833"/>
      <c r="G122" s="833"/>
      <c r="H122" s="833"/>
      <c r="I122" s="833"/>
      <c r="J122" s="833"/>
      <c r="K122" s="833"/>
      <c r="L122" s="833"/>
      <c r="M122" s="151"/>
    </row>
    <row r="123" spans="2:13" s="139" customFormat="1" ht="15.75" x14ac:dyDescent="0.2">
      <c r="D123" s="152"/>
      <c r="E123" s="141"/>
      <c r="F123" s="141"/>
      <c r="G123" s="142"/>
      <c r="H123" s="142"/>
      <c r="I123" s="142"/>
      <c r="J123" s="142"/>
      <c r="K123" s="143"/>
      <c r="L123" s="153"/>
      <c r="M123" s="151"/>
    </row>
    <row r="124" spans="2:13" s="139" customFormat="1" ht="15.75" hidden="1" x14ac:dyDescent="0.2">
      <c r="D124" s="152"/>
      <c r="E124" s="141"/>
      <c r="F124" s="141"/>
      <c r="G124" s="142"/>
      <c r="H124" s="142"/>
      <c r="I124" s="142"/>
      <c r="J124" s="142"/>
      <c r="K124" s="143"/>
      <c r="L124" s="153"/>
      <c r="M124" s="151"/>
    </row>
    <row r="125" spans="2:13" s="139" customFormat="1" ht="15.75" hidden="1" x14ac:dyDescent="0.2">
      <c r="D125" s="152"/>
      <c r="E125" s="141"/>
      <c r="F125" s="141"/>
      <c r="G125" s="142"/>
      <c r="H125" s="142"/>
      <c r="I125" s="142"/>
      <c r="J125" s="142"/>
      <c r="K125" s="143"/>
      <c r="L125" s="153"/>
      <c r="M125" s="151"/>
    </row>
    <row r="126" spans="2:13" s="141" customFormat="1" ht="31.5" hidden="1" customHeight="1" x14ac:dyDescent="0.2">
      <c r="B126" s="154"/>
      <c r="D126" s="152"/>
      <c r="G126" s="142"/>
      <c r="H126" s="142"/>
      <c r="I126" s="142"/>
      <c r="J126" s="142"/>
      <c r="K126" s="143"/>
      <c r="L126" s="153"/>
      <c r="M126" s="151"/>
    </row>
    <row r="127" spans="2:13" ht="30" hidden="1" x14ac:dyDescent="0.2">
      <c r="B127" s="155" t="s">
        <v>125</v>
      </c>
      <c r="C127" s="141"/>
      <c r="D127" s="152"/>
      <c r="E127" s="141" t="s">
        <v>162</v>
      </c>
      <c r="F127" s="141"/>
      <c r="G127" s="142"/>
      <c r="H127" s="142"/>
      <c r="I127" s="142"/>
    </row>
    <row r="128" spans="2:13" ht="15.75" hidden="1" x14ac:dyDescent="0.2">
      <c r="B128" s="140">
        <v>1</v>
      </c>
      <c r="C128" s="141" t="str">
        <f>CONCATENATE('Fiche de renseignements'!C84,'Fiche de renseignements'!D84,'Fiche de renseignements'!E84)</f>
        <v>NONNONNON</v>
      </c>
      <c r="D128" s="152">
        <f t="shared" ref="D128:D137" si="0">VLOOKUP(C128,$B$271:$F$288,5,FALSE)</f>
        <v>0</v>
      </c>
      <c r="E128" s="141">
        <f>IF(LEFT(C128,3)="oui",50%,0)</f>
        <v>0</v>
      </c>
      <c r="F128" s="522"/>
      <c r="G128" s="523"/>
      <c r="H128" s="142"/>
      <c r="I128" s="142"/>
    </row>
    <row r="129" spans="2:9" ht="15.75" hidden="1" x14ac:dyDescent="0.2">
      <c r="B129" s="140">
        <v>2</v>
      </c>
      <c r="C129" s="141" t="str">
        <f>CONCATENATE('Fiche de renseignements'!C85,'Fiche de renseignements'!D85,'Fiche de renseignements'!E85)</f>
        <v>NONNONNON</v>
      </c>
      <c r="D129" s="152">
        <f t="shared" si="0"/>
        <v>0</v>
      </c>
      <c r="E129" s="141">
        <f t="shared" ref="E129:E137" si="1">IF(LEFT(C129,3)="oui",50%,0)</f>
        <v>0</v>
      </c>
      <c r="F129" s="522"/>
      <c r="G129" s="523"/>
      <c r="H129" s="142"/>
      <c r="I129" s="142"/>
    </row>
    <row r="130" spans="2:9" ht="15.75" hidden="1" x14ac:dyDescent="0.2">
      <c r="B130" s="140">
        <v>3</v>
      </c>
      <c r="C130" s="141" t="str">
        <f>CONCATENATE('Fiche de renseignements'!C86,'Fiche de renseignements'!D86,'Fiche de renseignements'!E86)</f>
        <v>NONNONNON</v>
      </c>
      <c r="D130" s="152">
        <f t="shared" si="0"/>
        <v>0</v>
      </c>
      <c r="E130" s="141">
        <f t="shared" si="1"/>
        <v>0</v>
      </c>
      <c r="F130" s="522"/>
      <c r="G130" s="523"/>
      <c r="H130" s="142"/>
      <c r="I130" s="142"/>
    </row>
    <row r="131" spans="2:9" ht="15.75" hidden="1" x14ac:dyDescent="0.2">
      <c r="B131" s="140">
        <v>4</v>
      </c>
      <c r="C131" s="141" t="str">
        <f>CONCATENATE('Fiche de renseignements'!C87,'Fiche de renseignements'!D87,'Fiche de renseignements'!E87)</f>
        <v>NONNONNON</v>
      </c>
      <c r="D131" s="152">
        <f t="shared" si="0"/>
        <v>0</v>
      </c>
      <c r="E131" s="141">
        <f t="shared" si="1"/>
        <v>0</v>
      </c>
      <c r="F131" s="522"/>
      <c r="G131" s="523"/>
      <c r="H131" s="142"/>
      <c r="I131" s="142"/>
    </row>
    <row r="132" spans="2:9" ht="15.75" hidden="1" x14ac:dyDescent="0.2">
      <c r="B132" s="140">
        <v>5</v>
      </c>
      <c r="C132" s="141" t="str">
        <f>CONCATENATE('Fiche de renseignements'!C88,'Fiche de renseignements'!D88,'Fiche de renseignements'!E88)</f>
        <v>NONNONNON</v>
      </c>
      <c r="D132" s="152">
        <f t="shared" si="0"/>
        <v>0</v>
      </c>
      <c r="E132" s="141">
        <f t="shared" si="1"/>
        <v>0</v>
      </c>
      <c r="F132" s="522"/>
      <c r="G132" s="523"/>
      <c r="H132" s="142"/>
      <c r="I132" s="142"/>
    </row>
    <row r="133" spans="2:9" ht="15.75" hidden="1" x14ac:dyDescent="0.2">
      <c r="B133" s="140">
        <v>6</v>
      </c>
      <c r="C133" s="141" t="str">
        <f>CONCATENATE('Fiche de renseignements'!C89,'Fiche de renseignements'!D89,'Fiche de renseignements'!E89)</f>
        <v>NONNONNON</v>
      </c>
      <c r="D133" s="152">
        <f t="shared" si="0"/>
        <v>0</v>
      </c>
      <c r="E133" s="141">
        <f t="shared" si="1"/>
        <v>0</v>
      </c>
      <c r="F133" s="522"/>
      <c r="G133" s="523"/>
      <c r="H133" s="142"/>
      <c r="I133" s="142"/>
    </row>
    <row r="134" spans="2:9" ht="15.75" hidden="1" x14ac:dyDescent="0.2">
      <c r="B134" s="140">
        <v>7</v>
      </c>
      <c r="C134" s="141" t="str">
        <f>CONCATENATE('Fiche de renseignements'!C90,'Fiche de renseignements'!D90,'Fiche de renseignements'!E90)</f>
        <v>NONNONNON</v>
      </c>
      <c r="D134" s="152">
        <f t="shared" si="0"/>
        <v>0</v>
      </c>
      <c r="E134" s="141">
        <f t="shared" si="1"/>
        <v>0</v>
      </c>
      <c r="F134" s="522"/>
      <c r="G134" s="523"/>
      <c r="H134" s="142"/>
      <c r="I134" s="142"/>
    </row>
    <row r="135" spans="2:9" ht="15.75" hidden="1" x14ac:dyDescent="0.2">
      <c r="B135" s="140">
        <v>8</v>
      </c>
      <c r="C135" s="141" t="str">
        <f>CONCATENATE('Fiche de renseignements'!C91,'Fiche de renseignements'!D91,'Fiche de renseignements'!E91)</f>
        <v>NONNONNON</v>
      </c>
      <c r="D135" s="152">
        <f t="shared" si="0"/>
        <v>0</v>
      </c>
      <c r="E135" s="141">
        <f t="shared" si="1"/>
        <v>0</v>
      </c>
      <c r="F135" s="522"/>
      <c r="G135" s="523"/>
      <c r="H135" s="142"/>
      <c r="I135" s="142"/>
    </row>
    <row r="136" spans="2:9" ht="15.75" hidden="1" x14ac:dyDescent="0.2">
      <c r="B136" s="140">
        <v>9</v>
      </c>
      <c r="C136" s="141" t="str">
        <f>CONCATENATE('Fiche de renseignements'!C92,'Fiche de renseignements'!D92,'Fiche de renseignements'!E92)</f>
        <v>NONNONNON</v>
      </c>
      <c r="D136" s="152">
        <f t="shared" si="0"/>
        <v>0</v>
      </c>
      <c r="E136" s="141">
        <f t="shared" si="1"/>
        <v>0</v>
      </c>
      <c r="F136" s="522"/>
      <c r="G136" s="523"/>
      <c r="H136" s="142"/>
      <c r="I136" s="142"/>
    </row>
    <row r="137" spans="2:9" ht="16.5" hidden="1" thickBot="1" x14ac:dyDescent="0.25">
      <c r="B137" s="140">
        <v>10</v>
      </c>
      <c r="C137" s="141" t="str">
        <f>CONCATENATE('Fiche de renseignements'!C93,'Fiche de renseignements'!D93,'Fiche de renseignements'!E93)</f>
        <v>NONNONNON</v>
      </c>
      <c r="D137" s="152">
        <f t="shared" si="0"/>
        <v>0</v>
      </c>
      <c r="E137" s="141">
        <f t="shared" si="1"/>
        <v>0</v>
      </c>
      <c r="F137" s="522"/>
      <c r="G137" s="523"/>
      <c r="H137" s="142"/>
      <c r="I137" s="142"/>
    </row>
    <row r="138" spans="2:9" ht="30.75" hidden="1" thickBot="1" x14ac:dyDescent="0.25">
      <c r="B138" s="155" t="s">
        <v>126</v>
      </c>
      <c r="C138" s="141"/>
      <c r="D138" s="485">
        <f>IF(I74=0,0,SUM(D128:D137)/I74)</f>
        <v>0</v>
      </c>
      <c r="E138" s="485">
        <f>IF(I74=0,0,SUM(E128:E137)/I74)</f>
        <v>0</v>
      </c>
      <c r="F138" s="522"/>
      <c r="G138" s="524"/>
      <c r="H138" s="142"/>
      <c r="I138" s="142"/>
    </row>
    <row r="139" spans="2:9" ht="15.75" hidden="1" x14ac:dyDescent="0.2">
      <c r="B139" s="156">
        <v>1</v>
      </c>
      <c r="C139" s="141" t="str">
        <f>CONCATENATE('Fiche de renseignements'!C95,'Fiche de renseignements'!D95,'Fiche de renseignements'!E95)</f>
        <v>NONNONNON</v>
      </c>
      <c r="D139" s="152">
        <f t="shared" ref="D139:D148" si="2">VLOOKUP(C139,$B$271:$F$288,5,FALSE)</f>
        <v>0</v>
      </c>
      <c r="E139" s="141">
        <f>IF(LEFT(C139,3)="oui",50%,0)</f>
        <v>0</v>
      </c>
      <c r="F139" s="522"/>
      <c r="G139" s="522"/>
      <c r="H139" s="142"/>
      <c r="I139" s="142"/>
    </row>
    <row r="140" spans="2:9" ht="15.75" hidden="1" x14ac:dyDescent="0.2">
      <c r="B140" s="156">
        <v>2</v>
      </c>
      <c r="C140" s="141" t="str">
        <f>CONCATENATE('Fiche de renseignements'!C96,'Fiche de renseignements'!D96,'Fiche de renseignements'!E96)</f>
        <v>NONNONNON</v>
      </c>
      <c r="D140" s="152">
        <f t="shared" si="2"/>
        <v>0</v>
      </c>
      <c r="E140" s="141">
        <f t="shared" ref="E140:E148" si="3">IF(LEFT(C140,3)="oui",50%,0)</f>
        <v>0</v>
      </c>
      <c r="F140" s="522"/>
      <c r="G140" s="522"/>
      <c r="H140" s="142"/>
      <c r="I140" s="142"/>
    </row>
    <row r="141" spans="2:9" ht="15.75" hidden="1" x14ac:dyDescent="0.2">
      <c r="B141" s="156">
        <v>3</v>
      </c>
      <c r="C141" s="141" t="str">
        <f>CONCATENATE('Fiche de renseignements'!C97,'Fiche de renseignements'!D97,'Fiche de renseignements'!E97)</f>
        <v>NONNONNON</v>
      </c>
      <c r="D141" s="152">
        <f t="shared" si="2"/>
        <v>0</v>
      </c>
      <c r="E141" s="141">
        <f t="shared" si="3"/>
        <v>0</v>
      </c>
      <c r="F141" s="522"/>
      <c r="G141" s="522"/>
      <c r="H141" s="142"/>
      <c r="I141" s="142"/>
    </row>
    <row r="142" spans="2:9" ht="15.75" hidden="1" x14ac:dyDescent="0.2">
      <c r="B142" s="156">
        <v>4</v>
      </c>
      <c r="C142" s="141" t="str">
        <f>CONCATENATE('Fiche de renseignements'!C98,'Fiche de renseignements'!D98,'Fiche de renseignements'!E98)</f>
        <v>NONNONNON</v>
      </c>
      <c r="D142" s="152">
        <f t="shared" si="2"/>
        <v>0</v>
      </c>
      <c r="E142" s="141">
        <f t="shared" si="3"/>
        <v>0</v>
      </c>
      <c r="F142" s="522"/>
      <c r="G142" s="522"/>
      <c r="H142" s="142"/>
      <c r="I142" s="142"/>
    </row>
    <row r="143" spans="2:9" ht="15.75" hidden="1" x14ac:dyDescent="0.2">
      <c r="B143" s="156">
        <v>5</v>
      </c>
      <c r="C143" s="141" t="str">
        <f>CONCATENATE('Fiche de renseignements'!C99,'Fiche de renseignements'!D99,'Fiche de renseignements'!E99)</f>
        <v>NONNONNON</v>
      </c>
      <c r="D143" s="152">
        <f t="shared" si="2"/>
        <v>0</v>
      </c>
      <c r="E143" s="141">
        <f t="shared" si="3"/>
        <v>0</v>
      </c>
      <c r="F143" s="522"/>
      <c r="G143" s="522"/>
      <c r="H143" s="142"/>
      <c r="I143" s="142"/>
    </row>
    <row r="144" spans="2:9" ht="15.75" hidden="1" x14ac:dyDescent="0.2">
      <c r="B144" s="156">
        <v>6</v>
      </c>
      <c r="C144" s="141" t="str">
        <f>CONCATENATE('Fiche de renseignements'!C100,'Fiche de renseignements'!D100,'Fiche de renseignements'!E100)</f>
        <v>NONNONNON</v>
      </c>
      <c r="D144" s="152">
        <f t="shared" si="2"/>
        <v>0</v>
      </c>
      <c r="E144" s="141">
        <f t="shared" si="3"/>
        <v>0</v>
      </c>
      <c r="F144" s="522"/>
      <c r="G144" s="522"/>
      <c r="H144" s="142"/>
      <c r="I144" s="142"/>
    </row>
    <row r="145" spans="2:9" ht="15.75" hidden="1" x14ac:dyDescent="0.2">
      <c r="B145" s="156">
        <v>7</v>
      </c>
      <c r="C145" s="141" t="str">
        <f>CONCATENATE('Fiche de renseignements'!C101,'Fiche de renseignements'!D101,'Fiche de renseignements'!E101)</f>
        <v>NONNONNON</v>
      </c>
      <c r="D145" s="152">
        <f t="shared" si="2"/>
        <v>0</v>
      </c>
      <c r="E145" s="141">
        <f t="shared" si="3"/>
        <v>0</v>
      </c>
      <c r="F145" s="522"/>
      <c r="G145" s="522"/>
      <c r="H145" s="142"/>
      <c r="I145" s="142"/>
    </row>
    <row r="146" spans="2:9" ht="15.75" hidden="1" x14ac:dyDescent="0.2">
      <c r="B146" s="156">
        <v>8</v>
      </c>
      <c r="C146" s="141" t="str">
        <f>CONCATENATE('Fiche de renseignements'!C102,'Fiche de renseignements'!D102,'Fiche de renseignements'!E102)</f>
        <v>NONNONNON</v>
      </c>
      <c r="D146" s="152">
        <f t="shared" si="2"/>
        <v>0</v>
      </c>
      <c r="E146" s="141">
        <f t="shared" si="3"/>
        <v>0</v>
      </c>
      <c r="F146" s="522"/>
      <c r="G146" s="522"/>
      <c r="H146" s="142"/>
      <c r="I146" s="142"/>
    </row>
    <row r="147" spans="2:9" ht="15.75" hidden="1" x14ac:dyDescent="0.2">
      <c r="B147" s="156">
        <v>9</v>
      </c>
      <c r="C147" s="141" t="str">
        <f>CONCATENATE('Fiche de renseignements'!C103,'Fiche de renseignements'!D103,'Fiche de renseignements'!E103)</f>
        <v>NONNONNON</v>
      </c>
      <c r="D147" s="152">
        <f t="shared" si="2"/>
        <v>0</v>
      </c>
      <c r="E147" s="141">
        <f t="shared" si="3"/>
        <v>0</v>
      </c>
      <c r="F147" s="522"/>
      <c r="G147" s="522"/>
      <c r="H147" s="142"/>
      <c r="I147" s="142"/>
    </row>
    <row r="148" spans="2:9" ht="16.5" hidden="1" thickBot="1" x14ac:dyDescent="0.25">
      <c r="B148" s="156">
        <v>10</v>
      </c>
      <c r="C148" s="141" t="str">
        <f>CONCATENATE('Fiche de renseignements'!C104,'Fiche de renseignements'!D104,'Fiche de renseignements'!E104)</f>
        <v>NONNONNON</v>
      </c>
      <c r="D148" s="152">
        <f t="shared" si="2"/>
        <v>0</v>
      </c>
      <c r="E148" s="141">
        <f t="shared" si="3"/>
        <v>0</v>
      </c>
      <c r="F148" s="522"/>
      <c r="G148" s="522"/>
      <c r="H148" s="142"/>
      <c r="I148" s="142"/>
    </row>
    <row r="149" spans="2:9" ht="30.75" hidden="1" thickBot="1" x14ac:dyDescent="0.25">
      <c r="B149" s="155" t="s">
        <v>127</v>
      </c>
      <c r="C149" s="141"/>
      <c r="D149" s="485">
        <f>IF(I75=0,0,SUM(D139:D148)/I75)</f>
        <v>0</v>
      </c>
      <c r="E149" s="485">
        <f>IF(I75=0,0,SUM(E139:E148)/I75)</f>
        <v>0</v>
      </c>
      <c r="F149" s="522"/>
      <c r="G149" s="524"/>
      <c r="H149" s="142"/>
      <c r="I149" s="142"/>
    </row>
    <row r="150" spans="2:9" ht="15.75" hidden="1" x14ac:dyDescent="0.2">
      <c r="B150" s="156">
        <v>1</v>
      </c>
      <c r="C150" s="141" t="str">
        <f>CONCATENATE('Fiche de renseignements'!C106,'Fiche de renseignements'!D106,'Fiche de renseignements'!E106)</f>
        <v>NONNONNON</v>
      </c>
      <c r="D150" s="152">
        <f t="shared" ref="D150:D159" si="4">VLOOKUP(C150,$B$271:$F$288,5,FALSE)</f>
        <v>0</v>
      </c>
      <c r="E150" s="141">
        <f>IF(LEFT(C150,3)="oui",50%,0)</f>
        <v>0</v>
      </c>
      <c r="F150" s="522"/>
      <c r="G150" s="523"/>
      <c r="H150" s="142"/>
      <c r="I150" s="142"/>
    </row>
    <row r="151" spans="2:9" ht="15.75" hidden="1" x14ac:dyDescent="0.2">
      <c r="B151" s="156">
        <v>2</v>
      </c>
      <c r="C151" s="141" t="str">
        <f>CONCATENATE('Fiche de renseignements'!C107,'Fiche de renseignements'!D107,'Fiche de renseignements'!E107)</f>
        <v>NONNONNON</v>
      </c>
      <c r="D151" s="152">
        <f t="shared" si="4"/>
        <v>0</v>
      </c>
      <c r="E151" s="141">
        <f t="shared" ref="E151:E159" si="5">IF(LEFT(C151,3)="oui",50%,0)</f>
        <v>0</v>
      </c>
      <c r="F151" s="522"/>
      <c r="G151" s="523"/>
      <c r="H151" s="142"/>
      <c r="I151" s="142"/>
    </row>
    <row r="152" spans="2:9" ht="15.75" hidden="1" x14ac:dyDescent="0.2">
      <c r="B152" s="156">
        <v>3</v>
      </c>
      <c r="C152" s="141" t="str">
        <f>CONCATENATE('Fiche de renseignements'!C108,'Fiche de renseignements'!D108,'Fiche de renseignements'!E108)</f>
        <v>NONNONNON</v>
      </c>
      <c r="D152" s="152">
        <f t="shared" si="4"/>
        <v>0</v>
      </c>
      <c r="E152" s="141">
        <f t="shared" si="5"/>
        <v>0</v>
      </c>
      <c r="F152" s="522"/>
      <c r="G152" s="523"/>
      <c r="H152" s="142"/>
      <c r="I152" s="142"/>
    </row>
    <row r="153" spans="2:9" ht="15.75" hidden="1" x14ac:dyDescent="0.2">
      <c r="B153" s="156">
        <v>4</v>
      </c>
      <c r="C153" s="141" t="str">
        <f>CONCATENATE('Fiche de renseignements'!C109,'Fiche de renseignements'!D109,'Fiche de renseignements'!E109)</f>
        <v>NONNONNON</v>
      </c>
      <c r="D153" s="152">
        <f t="shared" si="4"/>
        <v>0</v>
      </c>
      <c r="E153" s="141">
        <f t="shared" si="5"/>
        <v>0</v>
      </c>
      <c r="F153" s="522"/>
      <c r="G153" s="523"/>
      <c r="H153" s="142"/>
      <c r="I153" s="142"/>
    </row>
    <row r="154" spans="2:9" ht="15.75" hidden="1" x14ac:dyDescent="0.2">
      <c r="B154" s="156">
        <v>5</v>
      </c>
      <c r="C154" s="141" t="str">
        <f>CONCATENATE('Fiche de renseignements'!C110,'Fiche de renseignements'!D110,'Fiche de renseignements'!E110)</f>
        <v>NONNONNON</v>
      </c>
      <c r="D154" s="152">
        <f t="shared" si="4"/>
        <v>0</v>
      </c>
      <c r="E154" s="141">
        <f t="shared" si="5"/>
        <v>0</v>
      </c>
      <c r="F154" s="522"/>
      <c r="G154" s="523"/>
      <c r="H154" s="142"/>
      <c r="I154" s="142"/>
    </row>
    <row r="155" spans="2:9" ht="15.75" hidden="1" x14ac:dyDescent="0.2">
      <c r="B155" s="156">
        <v>6</v>
      </c>
      <c r="C155" s="141" t="str">
        <f>CONCATENATE('Fiche de renseignements'!C111,'Fiche de renseignements'!D111,'Fiche de renseignements'!E111)</f>
        <v>NONNONNON</v>
      </c>
      <c r="D155" s="152">
        <f t="shared" si="4"/>
        <v>0</v>
      </c>
      <c r="E155" s="141">
        <f t="shared" si="5"/>
        <v>0</v>
      </c>
      <c r="F155" s="522"/>
      <c r="G155" s="523"/>
      <c r="H155" s="142"/>
      <c r="I155" s="142"/>
    </row>
    <row r="156" spans="2:9" ht="15.75" hidden="1" x14ac:dyDescent="0.2">
      <c r="B156" s="156">
        <v>7</v>
      </c>
      <c r="C156" s="141" t="str">
        <f>CONCATENATE('Fiche de renseignements'!C112,'Fiche de renseignements'!D112,'Fiche de renseignements'!E112)</f>
        <v>NONNONNON</v>
      </c>
      <c r="D156" s="152">
        <f t="shared" si="4"/>
        <v>0</v>
      </c>
      <c r="E156" s="141">
        <f t="shared" si="5"/>
        <v>0</v>
      </c>
      <c r="F156" s="522"/>
      <c r="G156" s="523"/>
      <c r="H156" s="142"/>
      <c r="I156" s="142"/>
    </row>
    <row r="157" spans="2:9" ht="15.75" hidden="1" x14ac:dyDescent="0.2">
      <c r="B157" s="156">
        <v>8</v>
      </c>
      <c r="C157" s="141" t="str">
        <f>CONCATENATE('Fiche de renseignements'!C113,'Fiche de renseignements'!D113,'Fiche de renseignements'!E113)</f>
        <v>NONNONNON</v>
      </c>
      <c r="D157" s="152">
        <f t="shared" si="4"/>
        <v>0</v>
      </c>
      <c r="E157" s="141">
        <f t="shared" si="5"/>
        <v>0</v>
      </c>
      <c r="F157" s="522"/>
      <c r="G157" s="523"/>
      <c r="H157" s="142"/>
      <c r="I157" s="142"/>
    </row>
    <row r="158" spans="2:9" ht="15.75" hidden="1" x14ac:dyDescent="0.2">
      <c r="B158" s="156">
        <v>9</v>
      </c>
      <c r="C158" s="141" t="str">
        <f>CONCATENATE('Fiche de renseignements'!C114,'Fiche de renseignements'!D114,'Fiche de renseignements'!E114)</f>
        <v>NONNONNON</v>
      </c>
      <c r="D158" s="152">
        <f t="shared" si="4"/>
        <v>0</v>
      </c>
      <c r="E158" s="141">
        <f t="shared" si="5"/>
        <v>0</v>
      </c>
      <c r="F158" s="522"/>
      <c r="G158" s="523"/>
      <c r="H158" s="142"/>
      <c r="I158" s="142"/>
    </row>
    <row r="159" spans="2:9" ht="16.5" hidden="1" thickBot="1" x14ac:dyDescent="0.25">
      <c r="B159" s="156">
        <v>10</v>
      </c>
      <c r="C159" s="141" t="str">
        <f>CONCATENATE('Fiche de renseignements'!C115,'Fiche de renseignements'!D115,'Fiche de renseignements'!E115)</f>
        <v>NONNONNON</v>
      </c>
      <c r="D159" s="152">
        <f t="shared" si="4"/>
        <v>0</v>
      </c>
      <c r="E159" s="141">
        <f t="shared" si="5"/>
        <v>0</v>
      </c>
      <c r="F159" s="522"/>
      <c r="G159" s="523"/>
      <c r="H159" s="142"/>
      <c r="I159" s="142"/>
    </row>
    <row r="160" spans="2:9" ht="30" hidden="1" customHeight="1" thickBot="1" x14ac:dyDescent="0.25">
      <c r="B160" s="155" t="s">
        <v>128</v>
      </c>
      <c r="C160" s="141"/>
      <c r="D160" s="485">
        <f>IF(I76=0,0,SUM(D150:D159)/I76)</f>
        <v>0</v>
      </c>
      <c r="E160" s="485">
        <f>IF(I76=0,0,SUM(E150:E159)/I76)</f>
        <v>0</v>
      </c>
      <c r="F160" s="522"/>
      <c r="G160" s="524"/>
      <c r="H160" s="142"/>
      <c r="I160" s="142"/>
    </row>
    <row r="161" spans="2:7" ht="15.75" hidden="1" x14ac:dyDescent="0.2">
      <c r="B161" s="156">
        <v>1</v>
      </c>
      <c r="C161" s="141" t="str">
        <f>CONCATENATE('Fiche de renseignements'!C117,'Fiche de renseignements'!D117,'Fiche de renseignements'!E117,'Fiche de renseignements'!F117)</f>
        <v>NONNONNONNON</v>
      </c>
      <c r="D161" s="152">
        <f t="shared" ref="D161:D170" si="6">VLOOKUP(C161,$B$309:$G$332,6,FALSE)</f>
        <v>0</v>
      </c>
      <c r="E161" s="141">
        <f>IF(OR(LEFT(C161,6)="nonnon"),0,50%)</f>
        <v>0</v>
      </c>
      <c r="F161" s="522"/>
      <c r="G161" s="523"/>
    </row>
    <row r="162" spans="2:7" ht="15.75" hidden="1" x14ac:dyDescent="0.2">
      <c r="B162" s="156">
        <v>2</v>
      </c>
      <c r="C162" s="141" t="str">
        <f>CONCATENATE('Fiche de renseignements'!C118,'Fiche de renseignements'!D118,'Fiche de renseignements'!E118,'Fiche de renseignements'!F118)</f>
        <v>NONNONNONNON</v>
      </c>
      <c r="D162" s="152">
        <f t="shared" si="6"/>
        <v>0</v>
      </c>
      <c r="E162" s="141">
        <f t="shared" ref="E162:E170" si="7">IF(OR(LEFT(C162,6)="nonnon"),0,50%)</f>
        <v>0</v>
      </c>
      <c r="F162" s="522"/>
      <c r="G162" s="523"/>
    </row>
    <row r="163" spans="2:7" ht="15.75" hidden="1" x14ac:dyDescent="0.2">
      <c r="B163" s="156">
        <v>3</v>
      </c>
      <c r="C163" s="141" t="str">
        <f>CONCATENATE('Fiche de renseignements'!C119,'Fiche de renseignements'!D119,'Fiche de renseignements'!E119,'Fiche de renseignements'!F119)</f>
        <v>NONNONNONNON</v>
      </c>
      <c r="D163" s="152">
        <f t="shared" si="6"/>
        <v>0</v>
      </c>
      <c r="E163" s="141">
        <f t="shared" si="7"/>
        <v>0</v>
      </c>
      <c r="F163" s="522"/>
      <c r="G163" s="523"/>
    </row>
    <row r="164" spans="2:7" ht="15.75" hidden="1" x14ac:dyDescent="0.2">
      <c r="B164" s="156">
        <v>4</v>
      </c>
      <c r="C164" s="141" t="str">
        <f>CONCATENATE('Fiche de renseignements'!C120,'Fiche de renseignements'!D120,'Fiche de renseignements'!E120,'Fiche de renseignements'!F120)</f>
        <v>NONNONNONNON</v>
      </c>
      <c r="D164" s="152">
        <f t="shared" si="6"/>
        <v>0</v>
      </c>
      <c r="E164" s="141">
        <f t="shared" si="7"/>
        <v>0</v>
      </c>
      <c r="F164" s="522"/>
      <c r="G164" s="523"/>
    </row>
    <row r="165" spans="2:7" ht="15.75" hidden="1" x14ac:dyDescent="0.2">
      <c r="B165" s="156">
        <v>5</v>
      </c>
      <c r="C165" s="141" t="str">
        <f>CONCATENATE('Fiche de renseignements'!C121,'Fiche de renseignements'!D121,'Fiche de renseignements'!E121,'Fiche de renseignements'!F121)</f>
        <v>NONNONNONNON</v>
      </c>
      <c r="D165" s="152">
        <f t="shared" si="6"/>
        <v>0</v>
      </c>
      <c r="E165" s="141">
        <f t="shared" si="7"/>
        <v>0</v>
      </c>
      <c r="F165" s="522"/>
      <c r="G165" s="523"/>
    </row>
    <row r="166" spans="2:7" ht="15.75" hidden="1" x14ac:dyDescent="0.2">
      <c r="B166" s="156">
        <v>6</v>
      </c>
      <c r="C166" s="141" t="str">
        <f>CONCATENATE('Fiche de renseignements'!C122,'Fiche de renseignements'!D122,'Fiche de renseignements'!E122,'Fiche de renseignements'!F122)</f>
        <v>NONNONNONNON</v>
      </c>
      <c r="D166" s="152">
        <f t="shared" si="6"/>
        <v>0</v>
      </c>
      <c r="E166" s="141">
        <f t="shared" si="7"/>
        <v>0</v>
      </c>
      <c r="F166" s="522"/>
      <c r="G166" s="523"/>
    </row>
    <row r="167" spans="2:7" ht="15.75" hidden="1" x14ac:dyDescent="0.2">
      <c r="B167" s="156">
        <v>7</v>
      </c>
      <c r="C167" s="141" t="str">
        <f>CONCATENATE('Fiche de renseignements'!C123,'Fiche de renseignements'!D123,'Fiche de renseignements'!E123,'Fiche de renseignements'!F123)</f>
        <v>NONNONNONNON</v>
      </c>
      <c r="D167" s="152">
        <f t="shared" si="6"/>
        <v>0</v>
      </c>
      <c r="E167" s="141">
        <f t="shared" si="7"/>
        <v>0</v>
      </c>
      <c r="F167" s="522"/>
      <c r="G167" s="523"/>
    </row>
    <row r="168" spans="2:7" ht="15.75" hidden="1" x14ac:dyDescent="0.2">
      <c r="B168" s="156">
        <v>8</v>
      </c>
      <c r="C168" s="141" t="str">
        <f>CONCATENATE('Fiche de renseignements'!C124,'Fiche de renseignements'!D124,'Fiche de renseignements'!E124,'Fiche de renseignements'!F124)</f>
        <v>NONNONNONNON</v>
      </c>
      <c r="D168" s="152">
        <f t="shared" si="6"/>
        <v>0</v>
      </c>
      <c r="E168" s="141">
        <f t="shared" si="7"/>
        <v>0</v>
      </c>
      <c r="F168" s="522"/>
      <c r="G168" s="523"/>
    </row>
    <row r="169" spans="2:7" ht="15.75" hidden="1" x14ac:dyDescent="0.2">
      <c r="B169" s="156">
        <v>9</v>
      </c>
      <c r="C169" s="141" t="str">
        <f>CONCATENATE('Fiche de renseignements'!C125,'Fiche de renseignements'!D125,'Fiche de renseignements'!E125,'Fiche de renseignements'!F125)</f>
        <v>NONNONNONNON</v>
      </c>
      <c r="D169" s="152">
        <f t="shared" si="6"/>
        <v>0</v>
      </c>
      <c r="E169" s="141">
        <f t="shared" si="7"/>
        <v>0</v>
      </c>
      <c r="F169" s="522"/>
      <c r="G169" s="523"/>
    </row>
    <row r="170" spans="2:7" ht="16.5" hidden="1" thickBot="1" x14ac:dyDescent="0.25">
      <c r="B170" s="156">
        <v>10</v>
      </c>
      <c r="C170" s="141" t="str">
        <f>CONCATENATE('Fiche de renseignements'!C126,'Fiche de renseignements'!D126,'Fiche de renseignements'!E126,'Fiche de renseignements'!F126)</f>
        <v>NONNONNONNON</v>
      </c>
      <c r="D170" s="152">
        <f t="shared" si="6"/>
        <v>0</v>
      </c>
      <c r="E170" s="141">
        <f t="shared" si="7"/>
        <v>0</v>
      </c>
      <c r="F170" s="522"/>
      <c r="G170" s="523"/>
    </row>
    <row r="171" spans="2:7" ht="30.75" hidden="1" thickBot="1" x14ac:dyDescent="0.25">
      <c r="B171" s="155" t="s">
        <v>129</v>
      </c>
      <c r="C171" s="141"/>
      <c r="D171" s="485">
        <f>IF(I77=0,0,SUM(D161:D170)/I77)</f>
        <v>0</v>
      </c>
      <c r="E171" s="485">
        <f>IF(I77=0,0,SUM(E161:E170)/I77)</f>
        <v>0</v>
      </c>
      <c r="F171" s="522"/>
      <c r="G171" s="524"/>
    </row>
    <row r="172" spans="2:7" ht="15.75" hidden="1" x14ac:dyDescent="0.2">
      <c r="B172" s="156">
        <v>1</v>
      </c>
      <c r="C172" s="141" t="str">
        <f>CONCATENATE('Fiche de renseignements'!C128,'Fiche de renseignements'!D128,'Fiche de renseignements'!E128,'Fiche de renseignements'!F128)</f>
        <v>NONNONNONNON</v>
      </c>
      <c r="D172" s="152">
        <f t="shared" ref="D172:D184" si="8">VLOOKUP(C172,$B$309:$G$332,6,FALSE)</f>
        <v>0</v>
      </c>
      <c r="E172" s="141">
        <f>IF(OR(LEFT(C172,6)="nonnon"),0,50%)</f>
        <v>0</v>
      </c>
      <c r="F172" s="522"/>
      <c r="G172" s="523"/>
    </row>
    <row r="173" spans="2:7" ht="15.75" hidden="1" x14ac:dyDescent="0.2">
      <c r="B173" s="156">
        <v>2</v>
      </c>
      <c r="C173" s="141" t="str">
        <f>CONCATENATE('Fiche de renseignements'!C129,'Fiche de renseignements'!D129,'Fiche de renseignements'!E129,'Fiche de renseignements'!F129)</f>
        <v>NONNONNONNON</v>
      </c>
      <c r="D173" s="152">
        <f t="shared" si="8"/>
        <v>0</v>
      </c>
      <c r="E173" s="141">
        <f t="shared" ref="E173:E184" si="9">IF(OR(LEFT(C173,6)="nonnon"),0,50%)</f>
        <v>0</v>
      </c>
      <c r="F173" s="522"/>
      <c r="G173" s="523"/>
    </row>
    <row r="174" spans="2:7" ht="15.75" hidden="1" x14ac:dyDescent="0.2">
      <c r="B174" s="156">
        <v>3</v>
      </c>
      <c r="C174" s="141" t="str">
        <f>CONCATENATE('Fiche de renseignements'!C130,'Fiche de renseignements'!D130,'Fiche de renseignements'!E130,'Fiche de renseignements'!F130)</f>
        <v>NONNONNONNON</v>
      </c>
      <c r="D174" s="152">
        <f t="shared" si="8"/>
        <v>0</v>
      </c>
      <c r="E174" s="141">
        <f t="shared" si="9"/>
        <v>0</v>
      </c>
      <c r="F174" s="522"/>
      <c r="G174" s="523"/>
    </row>
    <row r="175" spans="2:7" ht="15.75" hidden="1" x14ac:dyDescent="0.2">
      <c r="B175" s="156">
        <v>4</v>
      </c>
      <c r="C175" s="141" t="str">
        <f>CONCATENATE('Fiche de renseignements'!C131,'Fiche de renseignements'!D131,'Fiche de renseignements'!E131,'Fiche de renseignements'!F131)</f>
        <v>NONNONNONNON</v>
      </c>
      <c r="D175" s="152">
        <f t="shared" si="8"/>
        <v>0</v>
      </c>
      <c r="E175" s="141">
        <f t="shared" si="9"/>
        <v>0</v>
      </c>
      <c r="F175" s="522"/>
      <c r="G175" s="523"/>
    </row>
    <row r="176" spans="2:7" ht="15.75" hidden="1" x14ac:dyDescent="0.2">
      <c r="B176" s="156">
        <v>5</v>
      </c>
      <c r="C176" s="141" t="str">
        <f>CONCATENATE('Fiche de renseignements'!C132,'Fiche de renseignements'!D132,'Fiche de renseignements'!E132,'Fiche de renseignements'!F132)</f>
        <v>NONNONNONNON</v>
      </c>
      <c r="D176" s="152">
        <f t="shared" si="8"/>
        <v>0</v>
      </c>
      <c r="E176" s="141">
        <f t="shared" si="9"/>
        <v>0</v>
      </c>
      <c r="F176" s="522"/>
      <c r="G176" s="523"/>
    </row>
    <row r="177" spans="2:16" ht="15.75" hidden="1" x14ac:dyDescent="0.2">
      <c r="B177" s="156">
        <v>6</v>
      </c>
      <c r="C177" s="141" t="str">
        <f>CONCATENATE('Fiche de renseignements'!C133,'Fiche de renseignements'!D133,'Fiche de renseignements'!E133,'Fiche de renseignements'!F133)</f>
        <v>NONNONNONNON</v>
      </c>
      <c r="D177" s="152">
        <f t="shared" si="8"/>
        <v>0</v>
      </c>
      <c r="E177" s="141">
        <f t="shared" si="9"/>
        <v>0</v>
      </c>
      <c r="F177" s="522"/>
      <c r="G177" s="523"/>
    </row>
    <row r="178" spans="2:16" ht="15.75" hidden="1" x14ac:dyDescent="0.2">
      <c r="B178" s="156">
        <v>7</v>
      </c>
      <c r="C178" s="141" t="str">
        <f>CONCATENATE('Fiche de renseignements'!C134,'Fiche de renseignements'!D134,'Fiche de renseignements'!E134,'Fiche de renseignements'!F134)</f>
        <v>NONNONNONNON</v>
      </c>
      <c r="D178" s="152">
        <f t="shared" si="8"/>
        <v>0</v>
      </c>
      <c r="E178" s="141">
        <f t="shared" si="9"/>
        <v>0</v>
      </c>
      <c r="F178" s="522"/>
      <c r="G178" s="523"/>
    </row>
    <row r="179" spans="2:16" ht="15.75" hidden="1" x14ac:dyDescent="0.2">
      <c r="B179" s="156">
        <v>8</v>
      </c>
      <c r="C179" s="141" t="str">
        <f>CONCATENATE('Fiche de renseignements'!C135,'Fiche de renseignements'!D135,'Fiche de renseignements'!E135,'Fiche de renseignements'!F135)</f>
        <v>NONNONNONNON</v>
      </c>
      <c r="D179" s="152">
        <f t="shared" si="8"/>
        <v>0</v>
      </c>
      <c r="E179" s="141">
        <f t="shared" si="9"/>
        <v>0</v>
      </c>
      <c r="F179" s="522"/>
      <c r="G179" s="523"/>
    </row>
    <row r="180" spans="2:16" ht="15.75" hidden="1" x14ac:dyDescent="0.2">
      <c r="B180" s="156">
        <v>9</v>
      </c>
      <c r="C180" s="141" t="str">
        <f>CONCATENATE('Fiche de renseignements'!C136,'Fiche de renseignements'!D136,'Fiche de renseignements'!E136,'Fiche de renseignements'!F136)</f>
        <v>NONNONNONNON</v>
      </c>
      <c r="D180" s="152">
        <f t="shared" si="8"/>
        <v>0</v>
      </c>
      <c r="E180" s="141">
        <f t="shared" si="9"/>
        <v>0</v>
      </c>
      <c r="F180" s="522"/>
      <c r="G180" s="523"/>
    </row>
    <row r="181" spans="2:16" ht="15.75" hidden="1" x14ac:dyDescent="0.2">
      <c r="B181" s="156">
        <v>10</v>
      </c>
      <c r="C181" s="141" t="str">
        <f>CONCATENATE('Fiche de renseignements'!C137,'Fiche de renseignements'!D137,'Fiche de renseignements'!E137,'Fiche de renseignements'!F137)</f>
        <v>NONNONNONNON</v>
      </c>
      <c r="D181" s="152">
        <f t="shared" si="8"/>
        <v>0</v>
      </c>
      <c r="E181" s="141">
        <f t="shared" si="9"/>
        <v>0</v>
      </c>
      <c r="F181" s="522"/>
      <c r="G181" s="523"/>
    </row>
    <row r="182" spans="2:16" ht="15.75" hidden="1" x14ac:dyDescent="0.2">
      <c r="B182" s="156">
        <v>11</v>
      </c>
      <c r="C182" s="141" t="str">
        <f>CONCATENATE('Fiche de renseignements'!C138,'Fiche de renseignements'!D138,'Fiche de renseignements'!E138,'Fiche de renseignements'!F138)</f>
        <v>NONNONNONNON</v>
      </c>
      <c r="D182" s="152">
        <f t="shared" si="8"/>
        <v>0</v>
      </c>
      <c r="E182" s="141">
        <f t="shared" si="9"/>
        <v>0</v>
      </c>
      <c r="F182" s="522"/>
      <c r="G182" s="523"/>
    </row>
    <row r="183" spans="2:16" ht="15.75" hidden="1" x14ac:dyDescent="0.2">
      <c r="B183" s="156">
        <v>12</v>
      </c>
      <c r="C183" s="141" t="str">
        <f>CONCATENATE('Fiche de renseignements'!C139,'Fiche de renseignements'!D139,'Fiche de renseignements'!E139,'Fiche de renseignements'!F139)</f>
        <v>NONNONNONNON</v>
      </c>
      <c r="D183" s="152">
        <f t="shared" si="8"/>
        <v>0</v>
      </c>
      <c r="E183" s="141">
        <f t="shared" si="9"/>
        <v>0</v>
      </c>
      <c r="F183" s="522"/>
      <c r="G183" s="523"/>
    </row>
    <row r="184" spans="2:16" ht="16.5" hidden="1" thickBot="1" x14ac:dyDescent="0.25">
      <c r="B184" s="157">
        <v>13</v>
      </c>
      <c r="C184" s="141" t="str">
        <f>CONCATENATE('Fiche de renseignements'!C140,'Fiche de renseignements'!D140,'Fiche de renseignements'!E140,'Fiche de renseignements'!F140)</f>
        <v>NONNONNONNON</v>
      </c>
      <c r="D184" s="152">
        <f t="shared" si="8"/>
        <v>0</v>
      </c>
      <c r="E184" s="141">
        <f t="shared" si="9"/>
        <v>0</v>
      </c>
      <c r="F184" s="522"/>
      <c r="G184" s="523"/>
    </row>
    <row r="185" spans="2:16" ht="16.5" hidden="1" thickBot="1" x14ac:dyDescent="0.25">
      <c r="B185" s="155" t="s">
        <v>130</v>
      </c>
      <c r="C185" s="141"/>
      <c r="D185" s="485">
        <f>IF(I78=0,0,SUM(D172:D184)/I78)</f>
        <v>0</v>
      </c>
      <c r="E185" s="485">
        <f>IF(I78=0,0,SUM(E172:E184)/I78)</f>
        <v>0</v>
      </c>
      <c r="F185" s="522"/>
      <c r="G185" s="524"/>
    </row>
    <row r="186" spans="2:16" ht="15.75" hidden="1" x14ac:dyDescent="0.2">
      <c r="B186" s="156">
        <v>1</v>
      </c>
      <c r="C186" s="141" t="str">
        <f>CONCATENATE('Fiche de renseignements'!C142,'Fiche de renseignements'!D142,'Fiche de renseignements'!E142,'Fiche de renseignements'!F142)</f>
        <v>NONNONNONNON</v>
      </c>
      <c r="D186" s="152">
        <f t="shared" ref="D186:D200" si="10">VLOOKUP(C186,$B$309:$G$332,6,FALSE)</f>
        <v>0</v>
      </c>
      <c r="E186" s="141">
        <f>IF(OR(LEFT(C186,6)="nonnon"),0,50%)</f>
        <v>0</v>
      </c>
      <c r="F186" s="522"/>
      <c r="G186" s="523"/>
    </row>
    <row r="187" spans="2:16" ht="15.75" hidden="1" x14ac:dyDescent="0.2">
      <c r="B187" s="156">
        <v>2</v>
      </c>
      <c r="C187" s="141" t="str">
        <f>CONCATENATE('Fiche de renseignements'!C143,'Fiche de renseignements'!D143,'Fiche de renseignements'!E143,'Fiche de renseignements'!F143)</f>
        <v>NONNONNONNON</v>
      </c>
      <c r="D187" s="152">
        <f t="shared" si="10"/>
        <v>0</v>
      </c>
      <c r="E187" s="141">
        <f t="shared" ref="E187:E200" si="11">IF(OR(LEFT(C187,6)="nonnon"),0,50%)</f>
        <v>0</v>
      </c>
      <c r="F187" s="522"/>
      <c r="G187" s="523"/>
    </row>
    <row r="188" spans="2:16" ht="15.75" hidden="1" x14ac:dyDescent="0.2">
      <c r="B188" s="156">
        <v>3</v>
      </c>
      <c r="C188" s="141" t="str">
        <f>CONCATENATE('Fiche de renseignements'!C144,'Fiche de renseignements'!D144,'Fiche de renseignements'!E144,'Fiche de renseignements'!F144)</f>
        <v>NONNONNONNON</v>
      </c>
      <c r="D188" s="152">
        <f t="shared" si="10"/>
        <v>0</v>
      </c>
      <c r="E188" s="141">
        <f t="shared" si="11"/>
        <v>0</v>
      </c>
      <c r="F188" s="522"/>
      <c r="G188" s="523"/>
    </row>
    <row r="189" spans="2:16" ht="15.75" hidden="1" x14ac:dyDescent="0.25">
      <c r="B189" s="156">
        <v>4</v>
      </c>
      <c r="C189" s="141" t="str">
        <f>CONCATENATE('Fiche de renseignements'!C145,'Fiche de renseignements'!D145,'Fiche de renseignements'!E145,'Fiche de renseignements'!F145)</f>
        <v>NONNONNONNON</v>
      </c>
      <c r="D189" s="152">
        <f t="shared" si="10"/>
        <v>0</v>
      </c>
      <c r="E189" s="141">
        <f t="shared" si="11"/>
        <v>0</v>
      </c>
      <c r="F189" s="522"/>
      <c r="G189" s="523"/>
      <c r="P189" s="228"/>
    </row>
    <row r="190" spans="2:16" ht="15.75" hidden="1" x14ac:dyDescent="0.2">
      <c r="B190" s="156">
        <v>5</v>
      </c>
      <c r="C190" s="141" t="str">
        <f>CONCATENATE('Fiche de renseignements'!C146,'Fiche de renseignements'!D146,'Fiche de renseignements'!E146,'Fiche de renseignements'!F146)</f>
        <v>NONNONNONNON</v>
      </c>
      <c r="D190" s="152">
        <f t="shared" si="10"/>
        <v>0</v>
      </c>
      <c r="E190" s="141">
        <f t="shared" si="11"/>
        <v>0</v>
      </c>
      <c r="F190" s="522"/>
      <c r="G190" s="523"/>
    </row>
    <row r="191" spans="2:16" ht="15.75" hidden="1" x14ac:dyDescent="0.2">
      <c r="B191" s="156">
        <v>6</v>
      </c>
      <c r="C191" s="141" t="str">
        <f>CONCATENATE('Fiche de renseignements'!C147,'Fiche de renseignements'!D147,'Fiche de renseignements'!E147,'Fiche de renseignements'!F147)</f>
        <v>NONNONNONNON</v>
      </c>
      <c r="D191" s="152">
        <f t="shared" si="10"/>
        <v>0</v>
      </c>
      <c r="E191" s="141">
        <f t="shared" si="11"/>
        <v>0</v>
      </c>
      <c r="F191" s="522"/>
      <c r="G191" s="523"/>
    </row>
    <row r="192" spans="2:16" ht="15.75" hidden="1" x14ac:dyDescent="0.2">
      <c r="B192" s="156">
        <v>7</v>
      </c>
      <c r="C192" s="141" t="str">
        <f>CONCATENATE('Fiche de renseignements'!C148,'Fiche de renseignements'!D148,'Fiche de renseignements'!E148,'Fiche de renseignements'!F148)</f>
        <v>NONNONNONNON</v>
      </c>
      <c r="D192" s="152">
        <f t="shared" si="10"/>
        <v>0</v>
      </c>
      <c r="E192" s="141">
        <f t="shared" si="11"/>
        <v>0</v>
      </c>
      <c r="F192" s="522"/>
      <c r="G192" s="523"/>
    </row>
    <row r="193" spans="1:9" ht="15.75" hidden="1" x14ac:dyDescent="0.2">
      <c r="B193" s="156">
        <v>8</v>
      </c>
      <c r="C193" s="141" t="str">
        <f>CONCATENATE('Fiche de renseignements'!C149,'Fiche de renseignements'!D149,'Fiche de renseignements'!E149,'Fiche de renseignements'!F149)</f>
        <v>NONNONNONNON</v>
      </c>
      <c r="D193" s="152">
        <f t="shared" si="10"/>
        <v>0</v>
      </c>
      <c r="E193" s="141">
        <f t="shared" si="11"/>
        <v>0</v>
      </c>
      <c r="F193" s="522"/>
      <c r="G193" s="523"/>
    </row>
    <row r="194" spans="1:9" ht="15.75" hidden="1" x14ac:dyDescent="0.2">
      <c r="B194" s="156">
        <v>9</v>
      </c>
      <c r="C194" s="141" t="str">
        <f>CONCATENATE('Fiche de renseignements'!C150,'Fiche de renseignements'!D150,'Fiche de renseignements'!E150,'Fiche de renseignements'!F150)</f>
        <v>NONNONNONNON</v>
      </c>
      <c r="D194" s="152">
        <f t="shared" si="10"/>
        <v>0</v>
      </c>
      <c r="E194" s="141">
        <f t="shared" si="11"/>
        <v>0</v>
      </c>
      <c r="F194" s="522"/>
      <c r="G194" s="523"/>
    </row>
    <row r="195" spans="1:9" ht="15.75" hidden="1" x14ac:dyDescent="0.2">
      <c r="B195" s="156">
        <v>10</v>
      </c>
      <c r="C195" s="141" t="str">
        <f>CONCATENATE('Fiche de renseignements'!C151,'Fiche de renseignements'!D151,'Fiche de renseignements'!E151,'Fiche de renseignements'!F151)</f>
        <v>NONNONNONNON</v>
      </c>
      <c r="D195" s="152">
        <f t="shared" si="10"/>
        <v>0</v>
      </c>
      <c r="E195" s="141">
        <f t="shared" si="11"/>
        <v>0</v>
      </c>
      <c r="F195" s="522"/>
      <c r="G195" s="523"/>
    </row>
    <row r="196" spans="1:9" ht="15.75" hidden="1" x14ac:dyDescent="0.2">
      <c r="B196" s="156">
        <v>11</v>
      </c>
      <c r="C196" s="141" t="str">
        <f>CONCATENATE('Fiche de renseignements'!C152,'Fiche de renseignements'!D152,'Fiche de renseignements'!E152,'Fiche de renseignements'!F152)</f>
        <v>NONNONNONNON</v>
      </c>
      <c r="D196" s="152">
        <f t="shared" si="10"/>
        <v>0</v>
      </c>
      <c r="E196" s="141">
        <f t="shared" si="11"/>
        <v>0</v>
      </c>
      <c r="F196" s="522"/>
      <c r="G196" s="523"/>
    </row>
    <row r="197" spans="1:9" ht="15.75" hidden="1" x14ac:dyDescent="0.2">
      <c r="B197" s="156">
        <v>12</v>
      </c>
      <c r="C197" s="141" t="str">
        <f>CONCATENATE('Fiche de renseignements'!C153,'Fiche de renseignements'!D153,'Fiche de renseignements'!E153,'Fiche de renseignements'!F153)</f>
        <v>NONNONNONNON</v>
      </c>
      <c r="D197" s="152">
        <f t="shared" si="10"/>
        <v>0</v>
      </c>
      <c r="E197" s="141">
        <f t="shared" si="11"/>
        <v>0</v>
      </c>
      <c r="F197" s="522"/>
      <c r="G197" s="523"/>
    </row>
    <row r="198" spans="1:9" ht="15.75" hidden="1" x14ac:dyDescent="0.2">
      <c r="B198" s="156">
        <v>13</v>
      </c>
      <c r="C198" s="141" t="str">
        <f>CONCATENATE('Fiche de renseignements'!C154,'Fiche de renseignements'!D154,'Fiche de renseignements'!E154,'Fiche de renseignements'!F154)</f>
        <v>NONNONNONNON</v>
      </c>
      <c r="D198" s="152">
        <f t="shared" si="10"/>
        <v>0</v>
      </c>
      <c r="E198" s="141">
        <f t="shared" si="11"/>
        <v>0</v>
      </c>
      <c r="F198" s="522"/>
      <c r="G198" s="523"/>
    </row>
    <row r="199" spans="1:9" ht="15.75" hidden="1" x14ac:dyDescent="0.2">
      <c r="B199" s="156">
        <v>14</v>
      </c>
      <c r="C199" s="141" t="str">
        <f>CONCATENATE('Fiche de renseignements'!C155,'Fiche de renseignements'!D155,'Fiche de renseignements'!E155,'Fiche de renseignements'!F155)</f>
        <v>NONNONNONNON</v>
      </c>
      <c r="D199" s="152">
        <f t="shared" si="10"/>
        <v>0</v>
      </c>
      <c r="E199" s="141">
        <f t="shared" si="11"/>
        <v>0</v>
      </c>
      <c r="F199" s="522"/>
      <c r="G199" s="523"/>
    </row>
    <row r="200" spans="1:9" ht="16.5" hidden="1" thickBot="1" x14ac:dyDescent="0.25">
      <c r="B200" s="156">
        <v>15</v>
      </c>
      <c r="C200" s="141" t="str">
        <f>CONCATENATE('Fiche de renseignements'!C156,'Fiche de renseignements'!D156,'Fiche de renseignements'!E156,'Fiche de renseignements'!F156)</f>
        <v>NONNONNONNON</v>
      </c>
      <c r="D200" s="152">
        <f t="shared" si="10"/>
        <v>0</v>
      </c>
      <c r="E200" s="141">
        <f t="shared" si="11"/>
        <v>0</v>
      </c>
      <c r="F200" s="522"/>
      <c r="G200" s="523"/>
    </row>
    <row r="201" spans="1:9" ht="16.5" hidden="1" thickBot="1" x14ac:dyDescent="0.25">
      <c r="D201" s="485">
        <f>IF(I79=0,0,SUM(D186:D200)/I79)</f>
        <v>0</v>
      </c>
      <c r="E201" s="485">
        <f>IF(I79=0,0,SUM(E186:E200)/I79)</f>
        <v>0</v>
      </c>
      <c r="H201" s="508"/>
    </row>
    <row r="202" spans="1:9" hidden="1" x14ac:dyDescent="0.2">
      <c r="F202" s="520"/>
      <c r="G202" s="520"/>
      <c r="H202" s="520"/>
    </row>
    <row r="203" spans="1:9" hidden="1" x14ac:dyDescent="0.2">
      <c r="F203" s="520"/>
      <c r="G203" s="520"/>
      <c r="H203" s="520"/>
    </row>
    <row r="204" spans="1:9" hidden="1" x14ac:dyDescent="0.2">
      <c r="F204" s="520"/>
      <c r="G204" s="520"/>
      <c r="H204" s="520"/>
    </row>
    <row r="205" spans="1:9" hidden="1" x14ac:dyDescent="0.2">
      <c r="F205" s="520"/>
      <c r="G205" s="520"/>
      <c r="H205" s="520"/>
    </row>
    <row r="206" spans="1:9" hidden="1" x14ac:dyDescent="0.2">
      <c r="F206" s="521"/>
      <c r="G206" s="521"/>
      <c r="H206" s="521"/>
    </row>
    <row r="207" spans="1:9" hidden="1" x14ac:dyDescent="0.2">
      <c r="A207" s="812" t="s">
        <v>82</v>
      </c>
      <c r="B207" s="812"/>
      <c r="C207" s="812"/>
      <c r="D207" s="812"/>
      <c r="F207" s="812" t="s">
        <v>83</v>
      </c>
      <c r="G207" s="812"/>
      <c r="H207" s="812"/>
      <c r="I207" s="812"/>
    </row>
    <row r="208" spans="1:9" hidden="1" x14ac:dyDescent="0.2">
      <c r="A208" s="229"/>
      <c r="B208" s="230" t="s">
        <v>135</v>
      </c>
      <c r="C208" s="229" t="s">
        <v>134</v>
      </c>
      <c r="D208" s="229" t="s">
        <v>138</v>
      </c>
      <c r="F208" s="229"/>
      <c r="G208" s="230" t="s">
        <v>135</v>
      </c>
      <c r="H208" s="229" t="s">
        <v>134</v>
      </c>
      <c r="I208" s="229" t="s">
        <v>138</v>
      </c>
    </row>
    <row r="209" spans="1:12" ht="15" hidden="1" x14ac:dyDescent="0.25">
      <c r="A209" s="231" t="s">
        <v>20</v>
      </c>
      <c r="B209" s="229" t="s">
        <v>71</v>
      </c>
      <c r="C209" s="229" t="s">
        <v>71</v>
      </c>
      <c r="D209" s="229" t="s">
        <v>71</v>
      </c>
      <c r="F209" s="231" t="s">
        <v>20</v>
      </c>
      <c r="G209" s="229" t="s">
        <v>71</v>
      </c>
      <c r="H209" s="229" t="s">
        <v>71</v>
      </c>
      <c r="I209" s="229" t="s">
        <v>71</v>
      </c>
    </row>
    <row r="210" spans="1:12" hidden="1" x14ac:dyDescent="0.2">
      <c r="A210" s="229" t="s">
        <v>26</v>
      </c>
      <c r="B210" s="232">
        <v>2.7000000000000001E-3</v>
      </c>
      <c r="C210" s="232">
        <v>1.2500000000000001E-2</v>
      </c>
      <c r="D210" s="232">
        <v>1.5E-3</v>
      </c>
      <c r="F210" s="229" t="s">
        <v>26</v>
      </c>
      <c r="G210" s="232">
        <v>5.9999999999999995E-4</v>
      </c>
      <c r="H210" s="232">
        <v>1.1000000000000001E-3</v>
      </c>
      <c r="I210" s="232">
        <v>6.9999999999999994E-5</v>
      </c>
    </row>
    <row r="211" spans="1:12" hidden="1" x14ac:dyDescent="0.2">
      <c r="A211" s="229" t="s">
        <v>30</v>
      </c>
      <c r="B211" s="232">
        <v>1.1999999999999999E-3</v>
      </c>
      <c r="C211" s="232">
        <v>4.3E-3</v>
      </c>
      <c r="D211" s="232">
        <v>5.5000000000000003E-4</v>
      </c>
      <c r="F211" s="229" t="s">
        <v>30</v>
      </c>
      <c r="G211" s="232">
        <v>2.7E-4</v>
      </c>
      <c r="H211" s="232">
        <v>3.6999999999999999E-4</v>
      </c>
      <c r="I211" s="232">
        <v>2.3E-5</v>
      </c>
    </row>
    <row r="212" spans="1:12" hidden="1" x14ac:dyDescent="0.2">
      <c r="A212" s="229" t="s">
        <v>32</v>
      </c>
      <c r="B212" s="232">
        <v>5.9999999999999995E-4</v>
      </c>
      <c r="C212" s="233">
        <v>2.8409090909090913E-4</v>
      </c>
      <c r="D212" s="233">
        <v>1.3928571428571429E-4</v>
      </c>
      <c r="F212" s="229" t="s">
        <v>32</v>
      </c>
      <c r="G212" s="232">
        <v>5.0000000000000002E-5</v>
      </c>
      <c r="H212" s="233">
        <v>2.5000000000000001E-5</v>
      </c>
      <c r="I212" s="233">
        <f>6.5*10^-6</f>
        <v>6.4999999999999996E-6</v>
      </c>
    </row>
    <row r="213" spans="1:12" hidden="1" x14ac:dyDescent="0.2"/>
    <row r="214" spans="1:12" hidden="1" x14ac:dyDescent="0.2"/>
    <row r="215" spans="1:12" hidden="1" x14ac:dyDescent="0.2">
      <c r="J215" s="222" t="s">
        <v>372</v>
      </c>
      <c r="L215" s="222" t="s">
        <v>373</v>
      </c>
    </row>
    <row r="216" spans="1:12" ht="15" hidden="1" x14ac:dyDescent="0.25">
      <c r="B216" s="229"/>
      <c r="C216" s="230" t="s">
        <v>135</v>
      </c>
      <c r="D216" s="229" t="s">
        <v>134</v>
      </c>
      <c r="E216" s="229" t="s">
        <v>138</v>
      </c>
      <c r="I216" s="234" t="s">
        <v>20</v>
      </c>
      <c r="J216" s="222" t="s">
        <v>71</v>
      </c>
      <c r="L216" s="222" t="s">
        <v>71</v>
      </c>
    </row>
    <row r="217" spans="1:12" ht="15" hidden="1" x14ac:dyDescent="0.25">
      <c r="B217" s="231" t="s">
        <v>20</v>
      </c>
      <c r="C217" s="229" t="s">
        <v>71</v>
      </c>
      <c r="D217" s="229" t="s">
        <v>71</v>
      </c>
      <c r="E217" s="229" t="s">
        <v>71</v>
      </c>
      <c r="I217" s="222" t="s">
        <v>26</v>
      </c>
      <c r="J217" s="457" t="e">
        <f t="shared" ref="J217:J218" si="12">C218*($C$230*$I$74*(1-$D$138)+$C$231*$I$75*(1-$D$149)+$C$232*$I$76*(1-$D$160))+D218*($D$230*$I$77*(1-$D$171)+$D$231*$I$78*(1-$D$185)+$D$232*$I$79*(1-$D$201))+E218*$F$221*($C$230*$I$74*(1-$E$138)+$C$231*$I$75*(1-$E$149)+$C$232*$I$76*(1-$E$160)+$D$230*$I$77*(1-$E$171)+$D$231*$I$78*(1-$E$185)+$D$232*$I$79*(1-$E$201))</f>
        <v>#N/A</v>
      </c>
      <c r="K217" s="458"/>
      <c r="L217" s="457" t="e">
        <f>C218*($C$230*$I$74+$C$231*$I$75+$C$232*$I$76)+D218*($D$230*$I$77+$D$231*$I$78+$D$232*$I$79)+E218*$F$221*($C$230*$I$74+$C$231*$I$75+$C$232*$I$76+$D$230*$I$77+$D$231*$I$78+$D$232*$I$79)</f>
        <v>#N/A</v>
      </c>
    </row>
    <row r="218" spans="1:12" hidden="1" x14ac:dyDescent="0.2">
      <c r="B218" s="229" t="s">
        <v>26</v>
      </c>
      <c r="C218" s="480">
        <f>IF($I$72="hors d'eau",B210,G210)</f>
        <v>5.9999999999999995E-4</v>
      </c>
      <c r="D218" s="480">
        <f t="shared" ref="C218:E220" si="13">IF($I$72="hors d'eau",C210,H210)</f>
        <v>1.1000000000000001E-3</v>
      </c>
      <c r="E218" s="480">
        <f>IF($I$72="hors d'eau",D210,I210)</f>
        <v>6.9999999999999994E-5</v>
      </c>
      <c r="I218" s="222" t="s">
        <v>30</v>
      </c>
      <c r="J218" s="457" t="e">
        <f t="shared" si="12"/>
        <v>#N/A</v>
      </c>
      <c r="K218" s="458"/>
      <c r="L218" s="457" t="e">
        <f>C219*($C$230*$I$74+$C$231*$I$75+$C$232*$I$76)+D219*($D$230*$I$77+$D$231*$I$78+$D$232*$I$79)+E219*$F$221*($C$230*$I$74+$C$231*$I$75+$C$232*$I$76+$D$230*$I$77+$D$231*$I$78+$D$232*$I$79)</f>
        <v>#N/A</v>
      </c>
    </row>
    <row r="219" spans="1:12" hidden="1" x14ac:dyDescent="0.2">
      <c r="B219" s="229" t="s">
        <v>30</v>
      </c>
      <c r="C219" s="480">
        <f t="shared" si="13"/>
        <v>2.7E-4</v>
      </c>
      <c r="D219" s="480">
        <f t="shared" si="13"/>
        <v>3.6999999999999999E-4</v>
      </c>
      <c r="E219" s="480">
        <f t="shared" si="13"/>
        <v>2.3E-5</v>
      </c>
      <c r="I219" s="222" t="s">
        <v>32</v>
      </c>
      <c r="J219" s="457" t="e">
        <f>C220*($C$230*$I$74*(1-$D$138)+$C$231*$I$75*(1-$D$149)+$C$232*$I$76*(1-$D$160))+D220*($D$230*$I$77*(1-$D$171)+$D$231*$I$78*(1-$D$185)+$D$232*$I$79*(1-$D$201))+E220*$F$221*($C$230*$I$74*(1-$E$138)+$C$231*$I$75*(1-$E$149)+$C$232*$I$76*(1-$E$160)+$D$230*$I$77*(1-$E$171)+$D$231*$I$78*(1-$E$185)+$D$232*$I$79*(1-$E$201))</f>
        <v>#N/A</v>
      </c>
      <c r="K219" s="458"/>
      <c r="L219" s="457" t="e">
        <f>C220*($C$230*$I$74+$C$231*$I$75+$C$232*$I$76)+D220*($D$230*$I$77+$D$231*$I$78+$D$232*$I$79)+E220*$F$221*($C$230*$I$74+$C$231*$I$75+$C$232*$I$76+$D$230*$I$77+$D$231*$I$78+$D$232*$I$79)</f>
        <v>#N/A</v>
      </c>
    </row>
    <row r="220" spans="1:12" hidden="1" x14ac:dyDescent="0.2">
      <c r="B220" s="229" t="s">
        <v>32</v>
      </c>
      <c r="C220" s="480">
        <f t="shared" si="13"/>
        <v>5.0000000000000002E-5</v>
      </c>
      <c r="D220" s="480">
        <f t="shared" si="13"/>
        <v>2.5000000000000001E-5</v>
      </c>
      <c r="E220" s="481">
        <f t="shared" si="13"/>
        <v>6.4999999999999996E-6</v>
      </c>
    </row>
    <row r="221" spans="1:12" ht="49.5" hidden="1" customHeight="1" x14ac:dyDescent="0.25">
      <c r="E221" s="235" t="s">
        <v>136</v>
      </c>
      <c r="F221" s="236">
        <v>3</v>
      </c>
      <c r="I221" s="234" t="s">
        <v>357</v>
      </c>
      <c r="J221" s="222" t="s">
        <v>139</v>
      </c>
      <c r="L221" s="417" t="s">
        <v>139</v>
      </c>
    </row>
    <row r="222" spans="1:12" ht="15" hidden="1" x14ac:dyDescent="0.25">
      <c r="A222" s="482"/>
      <c r="B222" s="483"/>
      <c r="C222" s="482"/>
      <c r="D222" s="482"/>
      <c r="I222" s="222" t="s">
        <v>26</v>
      </c>
      <c r="J222" s="416" t="e">
        <f>J217*$I$70</f>
        <v>#N/A</v>
      </c>
      <c r="L222" s="416" t="e">
        <f>L217*$I$70</f>
        <v>#N/A</v>
      </c>
    </row>
    <row r="223" spans="1:12" hidden="1" x14ac:dyDescent="0.2">
      <c r="A223" s="865"/>
      <c r="B223" s="865"/>
      <c r="C223" s="484"/>
      <c r="D223" s="482"/>
      <c r="I223" s="222" t="s">
        <v>30</v>
      </c>
      <c r="J223" s="416" t="e">
        <f>J218*$I$70</f>
        <v>#N/A</v>
      </c>
      <c r="L223" s="416" t="e">
        <f>L218*$I$70</f>
        <v>#N/A</v>
      </c>
    </row>
    <row r="224" spans="1:12" hidden="1" x14ac:dyDescent="0.2">
      <c r="A224" s="865"/>
      <c r="B224" s="865"/>
      <c r="C224" s="484"/>
      <c r="D224" s="484"/>
      <c r="I224" s="222" t="s">
        <v>32</v>
      </c>
      <c r="J224" s="416" t="e">
        <f>J219*$I$70</f>
        <v>#N/A</v>
      </c>
      <c r="L224" s="416" t="e">
        <f>L219*$I$70</f>
        <v>#N/A</v>
      </c>
    </row>
    <row r="225" spans="1:10" hidden="1" x14ac:dyDescent="0.2">
      <c r="A225" s="865"/>
      <c r="B225" s="865"/>
      <c r="C225" s="484"/>
      <c r="D225" s="484"/>
    </row>
    <row r="226" spans="1:10" hidden="1" x14ac:dyDescent="0.2">
      <c r="A226" s="865"/>
      <c r="B226" s="865"/>
      <c r="C226" s="484"/>
      <c r="D226" s="484"/>
    </row>
    <row r="227" spans="1:10" hidden="1" x14ac:dyDescent="0.2">
      <c r="A227" s="865"/>
      <c r="B227" s="865"/>
      <c r="C227" s="484"/>
      <c r="D227" s="484"/>
    </row>
    <row r="228" spans="1:10" hidden="1" x14ac:dyDescent="0.2">
      <c r="A228" s="862"/>
      <c r="B228" s="862"/>
      <c r="C228" s="626"/>
      <c r="D228" s="626"/>
      <c r="E228" s="626"/>
      <c r="F228" s="626"/>
      <c r="G228" s="626"/>
      <c r="J228" s="486"/>
    </row>
    <row r="229" spans="1:10" hidden="1" x14ac:dyDescent="0.2">
      <c r="A229" s="862" t="s">
        <v>137</v>
      </c>
      <c r="B229" s="862"/>
      <c r="C229" s="626" t="s">
        <v>135</v>
      </c>
      <c r="D229" s="626" t="s">
        <v>134</v>
      </c>
      <c r="E229" s="626"/>
      <c r="F229" s="626"/>
      <c r="G229" s="626"/>
    </row>
    <row r="230" spans="1:10" hidden="1" x14ac:dyDescent="0.2">
      <c r="A230" s="862" t="s">
        <v>133</v>
      </c>
      <c r="B230" s="862"/>
      <c r="C230" s="627" t="e">
        <f>VLOOKUP($I$73&amp;A230,$B$236:$E$246,3,FALSE)</f>
        <v>#N/A</v>
      </c>
      <c r="D230" s="627" t="e">
        <f>VLOOKUP($I$73&amp;A230,$B$236:$E$246,4,FALSE)</f>
        <v>#N/A</v>
      </c>
      <c r="E230" s="626"/>
      <c r="F230" s="626"/>
      <c r="G230" s="626"/>
    </row>
    <row r="231" spans="1:10" hidden="1" x14ac:dyDescent="0.2">
      <c r="A231" s="862" t="s">
        <v>132</v>
      </c>
      <c r="B231" s="862"/>
      <c r="C231" s="627" t="e">
        <f>VLOOKUP($I$73&amp;A231,$B$236:$E$246,3,FALSE)</f>
        <v>#N/A</v>
      </c>
      <c r="D231" s="627" t="e">
        <f>VLOOKUP($I$73&amp;A231,$B$236:$E$246,4,FALSE)</f>
        <v>#N/A</v>
      </c>
      <c r="E231" s="626"/>
      <c r="F231" s="626"/>
      <c r="G231" s="626"/>
    </row>
    <row r="232" spans="1:10" hidden="1" x14ac:dyDescent="0.2">
      <c r="A232" s="862" t="s">
        <v>131</v>
      </c>
      <c r="B232" s="862"/>
      <c r="C232" s="627" t="e">
        <f>VLOOKUP($I$73&amp;A232,$B$236:$E$246,3,FALSE)</f>
        <v>#N/A</v>
      </c>
      <c r="D232" s="627" t="e">
        <f>VLOOKUP($I$73&amp;A232,$B$236:$E$246,4,FALSE)</f>
        <v>#N/A</v>
      </c>
      <c r="E232" s="626"/>
      <c r="F232" s="626"/>
      <c r="G232" s="626"/>
    </row>
    <row r="233" spans="1:10" hidden="1" x14ac:dyDescent="0.2">
      <c r="A233" s="628"/>
      <c r="B233" s="628"/>
      <c r="C233" s="627"/>
      <c r="D233" s="627"/>
      <c r="E233" s="626"/>
      <c r="F233" s="626"/>
      <c r="G233" s="626"/>
    </row>
    <row r="234" spans="1:10" hidden="1" x14ac:dyDescent="0.2">
      <c r="A234" s="628"/>
      <c r="B234" s="626"/>
      <c r="C234" s="629" t="s">
        <v>552</v>
      </c>
      <c r="D234" s="630" t="s">
        <v>135</v>
      </c>
      <c r="E234" s="631" t="s">
        <v>134</v>
      </c>
      <c r="F234" s="626"/>
      <c r="G234" s="626"/>
    </row>
    <row r="235" spans="1:10" hidden="1" x14ac:dyDescent="0.2">
      <c r="A235" s="628"/>
      <c r="B235" s="626"/>
      <c r="C235" s="790" t="s">
        <v>548</v>
      </c>
      <c r="D235" s="791"/>
      <c r="E235" s="792"/>
      <c r="F235" s="626"/>
      <c r="G235" s="626"/>
    </row>
    <row r="236" spans="1:10" hidden="1" x14ac:dyDescent="0.2">
      <c r="A236" s="626"/>
      <c r="B236" s="626" t="str">
        <f>$C$235&amp;C236</f>
        <v>Roche meubleprimaire</v>
      </c>
      <c r="C236" s="632" t="s">
        <v>133</v>
      </c>
      <c r="D236" s="633">
        <v>0.15</v>
      </c>
      <c r="E236" s="634">
        <v>1</v>
      </c>
      <c r="F236" s="626"/>
      <c r="G236" s="626"/>
    </row>
    <row r="237" spans="1:10" hidden="1" x14ac:dyDescent="0.2">
      <c r="A237" s="626"/>
      <c r="B237" s="626" t="str">
        <f>$C$235&amp;C237</f>
        <v>Roche meublesecondaire</v>
      </c>
      <c r="C237" s="632" t="s">
        <v>132</v>
      </c>
      <c r="D237" s="633">
        <v>0.6</v>
      </c>
      <c r="E237" s="634">
        <v>0.6</v>
      </c>
      <c r="F237" s="626"/>
      <c r="G237" s="626"/>
    </row>
    <row r="238" spans="1:10" hidden="1" x14ac:dyDescent="0.2">
      <c r="A238" s="626"/>
      <c r="B238" s="626" t="str">
        <f>$C$235&amp;C238</f>
        <v>Roche meubletertiaire</v>
      </c>
      <c r="C238" s="635" t="s">
        <v>131</v>
      </c>
      <c r="D238" s="636">
        <v>0.6</v>
      </c>
      <c r="E238" s="637">
        <v>0.6</v>
      </c>
      <c r="F238" s="638"/>
      <c r="G238" s="638"/>
    </row>
    <row r="239" spans="1:10" hidden="1" x14ac:dyDescent="0.2">
      <c r="A239" s="626"/>
      <c r="B239" s="626"/>
      <c r="C239" s="790" t="s">
        <v>549</v>
      </c>
      <c r="D239" s="791"/>
      <c r="E239" s="792"/>
      <c r="F239" s="638"/>
      <c r="G239" s="638"/>
    </row>
    <row r="240" spans="1:10" hidden="1" x14ac:dyDescent="0.2">
      <c r="A240" s="626"/>
      <c r="B240" s="626" t="str">
        <f>$C$239&amp;C240</f>
        <v>Roche massiveprimaire</v>
      </c>
      <c r="C240" s="632" t="s">
        <v>133</v>
      </c>
      <c r="D240" s="633">
        <v>0.9</v>
      </c>
      <c r="E240" s="634">
        <v>1</v>
      </c>
      <c r="F240" s="638"/>
      <c r="G240" s="638"/>
    </row>
    <row r="241" spans="1:8" hidden="1" x14ac:dyDescent="0.2">
      <c r="A241" s="626"/>
      <c r="B241" s="626" t="str">
        <f t="shared" ref="B241:B242" si="14">$C$239&amp;C241</f>
        <v>Roche massivesecondaire</v>
      </c>
      <c r="C241" s="632" t="s">
        <v>132</v>
      </c>
      <c r="D241" s="633">
        <v>0.7</v>
      </c>
      <c r="E241" s="634">
        <v>0.9</v>
      </c>
      <c r="F241" s="638"/>
      <c r="G241" s="638"/>
    </row>
    <row r="242" spans="1:8" hidden="1" x14ac:dyDescent="0.2">
      <c r="A242" s="626"/>
      <c r="B242" s="626" t="str">
        <f t="shared" si="14"/>
        <v>Roche massivetertiaire</v>
      </c>
      <c r="C242" s="635" t="s">
        <v>131</v>
      </c>
      <c r="D242" s="636">
        <v>0.5</v>
      </c>
      <c r="E242" s="637">
        <v>0.9</v>
      </c>
      <c r="F242" s="638"/>
      <c r="G242" s="638"/>
    </row>
    <row r="243" spans="1:8" hidden="1" x14ac:dyDescent="0.2">
      <c r="A243" s="626"/>
      <c r="B243" s="626"/>
      <c r="C243" s="790" t="s">
        <v>550</v>
      </c>
      <c r="D243" s="791"/>
      <c r="E243" s="792"/>
      <c r="F243" s="638"/>
      <c r="G243" s="638"/>
    </row>
    <row r="244" spans="1:8" hidden="1" x14ac:dyDescent="0.2">
      <c r="A244" s="626"/>
      <c r="B244" s="626" t="str">
        <f t="shared" ref="B244:B246" si="15">$C$243&amp;C244</f>
        <v>Autreprimaire</v>
      </c>
      <c r="C244" s="632" t="s">
        <v>133</v>
      </c>
      <c r="D244" s="633">
        <v>1</v>
      </c>
      <c r="E244" s="634">
        <v>1</v>
      </c>
      <c r="F244" s="638"/>
      <c r="G244" s="638"/>
    </row>
    <row r="245" spans="1:8" hidden="1" x14ac:dyDescent="0.2">
      <c r="A245" s="626"/>
      <c r="B245" s="626" t="str">
        <f t="shared" si="15"/>
        <v>Autresecondaire</v>
      </c>
      <c r="C245" s="632" t="s">
        <v>132</v>
      </c>
      <c r="D245" s="633">
        <v>0.5</v>
      </c>
      <c r="E245" s="634">
        <v>1.2</v>
      </c>
      <c r="F245" s="638"/>
      <c r="G245" s="638"/>
    </row>
    <row r="246" spans="1:8" hidden="1" x14ac:dyDescent="0.2">
      <c r="A246" s="626"/>
      <c r="B246" s="626" t="str">
        <f t="shared" si="15"/>
        <v>Autretertiaire</v>
      </c>
      <c r="C246" s="635" t="s">
        <v>131</v>
      </c>
      <c r="D246" s="636">
        <v>0.3</v>
      </c>
      <c r="E246" s="637">
        <v>1.7</v>
      </c>
      <c r="F246" s="638"/>
      <c r="G246" s="638"/>
      <c r="H246" s="537"/>
    </row>
    <row r="247" spans="1:8" hidden="1" x14ac:dyDescent="0.2">
      <c r="B247" s="537"/>
      <c r="C247" s="537"/>
      <c r="D247" s="537"/>
      <c r="F247" s="537"/>
      <c r="G247" s="537"/>
      <c r="H247" s="537"/>
    </row>
    <row r="248" spans="1:8" hidden="1" x14ac:dyDescent="0.2">
      <c r="B248" s="537"/>
      <c r="C248" s="537"/>
      <c r="D248" s="537"/>
      <c r="F248" s="537"/>
      <c r="G248" s="537"/>
      <c r="H248" s="537"/>
    </row>
    <row r="249" spans="1:8" hidden="1" x14ac:dyDescent="0.2"/>
    <row r="250" spans="1:8" s="460" customFormat="1" ht="15.75" hidden="1" x14ac:dyDescent="0.25">
      <c r="A250" s="459" t="s">
        <v>477</v>
      </c>
    </row>
    <row r="251" spans="1:8" s="460" customFormat="1" ht="13.5" hidden="1" thickBot="1" x14ac:dyDescent="0.25"/>
    <row r="252" spans="1:8" s="462" customFormat="1" ht="18.75" hidden="1" thickBot="1" x14ac:dyDescent="0.3">
      <c r="A252" s="461" t="s">
        <v>478</v>
      </c>
    </row>
    <row r="253" spans="1:8" s="460" customFormat="1" ht="12.75" hidden="1" x14ac:dyDescent="0.2"/>
    <row r="254" spans="1:8" s="460" customFormat="1" ht="12.75" hidden="1" x14ac:dyDescent="0.2">
      <c r="A254" s="460" t="s">
        <v>479</v>
      </c>
      <c r="B254" s="463"/>
    </row>
    <row r="255" spans="1:8" s="460" customFormat="1" ht="12.75" hidden="1" x14ac:dyDescent="0.2"/>
    <row r="256" spans="1:8" s="460" customFormat="1" ht="12.75" hidden="1" x14ac:dyDescent="0.2">
      <c r="B256" s="464" t="s">
        <v>480</v>
      </c>
      <c r="C256" s="464" t="s">
        <v>481</v>
      </c>
    </row>
    <row r="257" spans="1:11" s="460" customFormat="1" ht="12.75" hidden="1" x14ac:dyDescent="0.2">
      <c r="B257" s="465" t="s">
        <v>482</v>
      </c>
      <c r="C257" s="466">
        <v>0</v>
      </c>
    </row>
    <row r="258" spans="1:11" s="460" customFormat="1" ht="12.75" hidden="1" x14ac:dyDescent="0.2">
      <c r="B258" s="467" t="s">
        <v>483</v>
      </c>
      <c r="C258" s="466">
        <v>0.5</v>
      </c>
      <c r="D258" s="460" t="s">
        <v>484</v>
      </c>
    </row>
    <row r="259" spans="1:11" s="460" customFormat="1" ht="12.75" hidden="1" x14ac:dyDescent="0.2">
      <c r="B259" s="467" t="s">
        <v>485</v>
      </c>
      <c r="C259" s="466">
        <v>0.75</v>
      </c>
      <c r="D259" s="460" t="s">
        <v>484</v>
      </c>
    </row>
    <row r="260" spans="1:11" s="460" customFormat="1" ht="12.75" hidden="1" x14ac:dyDescent="0.2">
      <c r="B260" s="465" t="s">
        <v>474</v>
      </c>
      <c r="C260" s="468">
        <v>0.7</v>
      </c>
      <c r="D260" s="460" t="s">
        <v>486</v>
      </c>
    </row>
    <row r="261" spans="1:11" s="460" customFormat="1" ht="12.75" hidden="1" x14ac:dyDescent="0.2">
      <c r="B261" s="465" t="s">
        <v>487</v>
      </c>
      <c r="C261" s="468">
        <v>0.85</v>
      </c>
      <c r="D261" s="460" t="s">
        <v>488</v>
      </c>
    </row>
    <row r="262" spans="1:11" s="460" customFormat="1" ht="12.75" hidden="1" x14ac:dyDescent="0.2">
      <c r="B262" s="465" t="s">
        <v>489</v>
      </c>
      <c r="C262" s="466">
        <v>0.95</v>
      </c>
      <c r="D262" s="460" t="s">
        <v>484</v>
      </c>
    </row>
    <row r="263" spans="1:11" s="460" customFormat="1" ht="12.75" hidden="1" x14ac:dyDescent="0.2"/>
    <row r="264" spans="1:11" s="460" customFormat="1" ht="12.75" hidden="1" x14ac:dyDescent="0.2"/>
    <row r="265" spans="1:11" s="460" customFormat="1" ht="12.75" hidden="1" x14ac:dyDescent="0.2">
      <c r="A265" s="460" t="s">
        <v>490</v>
      </c>
      <c r="B265" s="469"/>
    </row>
    <row r="266" spans="1:11" s="460" customFormat="1" ht="12.75" hidden="1" x14ac:dyDescent="0.2">
      <c r="B266" s="469"/>
    </row>
    <row r="267" spans="1:11" s="460" customFormat="1" ht="12.75" hidden="1" x14ac:dyDescent="0.2">
      <c r="B267" s="271" t="s">
        <v>491</v>
      </c>
      <c r="C267" s="271"/>
    </row>
    <row r="268" spans="1:11" s="460" customFormat="1" ht="12.75" hidden="1" x14ac:dyDescent="0.2">
      <c r="B268" s="271"/>
      <c r="C268" s="470" t="s">
        <v>492</v>
      </c>
    </row>
    <row r="269" spans="1:11" s="460" customFormat="1" ht="12.75" hidden="1" x14ac:dyDescent="0.2">
      <c r="B269" s="271"/>
      <c r="C269" s="470"/>
    </row>
    <row r="270" spans="1:11" s="460" customFormat="1" ht="51" hidden="1" x14ac:dyDescent="0.2">
      <c r="C270" s="471" t="s">
        <v>350</v>
      </c>
      <c r="D270" s="471" t="s">
        <v>440</v>
      </c>
      <c r="E270" s="471" t="s">
        <v>359</v>
      </c>
      <c r="F270" s="471" t="s">
        <v>493</v>
      </c>
      <c r="G270" s="471" t="s">
        <v>522</v>
      </c>
      <c r="I270" s="139" t="s">
        <v>467</v>
      </c>
      <c r="J270" s="139" t="s">
        <v>468</v>
      </c>
      <c r="K270" s="139" t="s">
        <v>471</v>
      </c>
    </row>
    <row r="271" spans="1:11" s="460" customFormat="1" ht="15" hidden="1" x14ac:dyDescent="0.2">
      <c r="B271" s="477" t="str">
        <f>CONCATENATE(C271,D271,E271)</f>
        <v>NONNONOUI (filtre à manche, électrofiltre, etc.)</v>
      </c>
      <c r="C271" s="456" t="s">
        <v>64</v>
      </c>
      <c r="D271" s="456" t="s">
        <v>64</v>
      </c>
      <c r="E271" s="456" t="s">
        <v>471</v>
      </c>
      <c r="F271" s="478">
        <v>0</v>
      </c>
      <c r="G271" s="472" t="s">
        <v>441</v>
      </c>
      <c r="I271" s="139" t="s">
        <v>470</v>
      </c>
      <c r="J271" s="139" t="s">
        <v>469</v>
      </c>
      <c r="K271" s="139" t="s">
        <v>64</v>
      </c>
    </row>
    <row r="272" spans="1:11" s="460" customFormat="1" ht="15" hidden="1" x14ac:dyDescent="0.2">
      <c r="B272" s="477" t="str">
        <f t="shared" ref="B272:B288" si="16">CONCATENATE(C272,D272,E272)</f>
        <v>NONOUI, partielOUI (filtre à manche, électrofiltre, etc.)</v>
      </c>
      <c r="C272" s="456" t="s">
        <v>64</v>
      </c>
      <c r="D272" s="456" t="s">
        <v>468</v>
      </c>
      <c r="E272" s="456" t="s">
        <v>471</v>
      </c>
      <c r="F272" s="506">
        <f>F280</f>
        <v>0.7</v>
      </c>
      <c r="G272" s="472" t="s">
        <v>441</v>
      </c>
      <c r="I272" s="139" t="s">
        <v>64</v>
      </c>
      <c r="J272" s="139" t="s">
        <v>64</v>
      </c>
      <c r="K272" s="139"/>
    </row>
    <row r="273" spans="1:9" s="460" customFormat="1" ht="15" hidden="1" x14ac:dyDescent="0.2">
      <c r="B273" s="477" t="str">
        <f t="shared" si="16"/>
        <v>OUI, eau simpleNONOUI (filtre à manche, électrofiltre, etc.)</v>
      </c>
      <c r="C273" s="456" t="s">
        <v>467</v>
      </c>
      <c r="D273" s="456" t="s">
        <v>64</v>
      </c>
      <c r="E273" s="456" t="s">
        <v>471</v>
      </c>
      <c r="F273" s="506">
        <f>F278</f>
        <v>0.5</v>
      </c>
      <c r="G273" s="472" t="s">
        <v>441</v>
      </c>
    </row>
    <row r="274" spans="1:9" s="460" customFormat="1" ht="15" hidden="1" x14ac:dyDescent="0.2">
      <c r="B274" s="477" t="str">
        <f t="shared" si="16"/>
        <v>OUI, eau simpleOUI, partielOUI (filtre à manche, électrofiltre, etc.)</v>
      </c>
      <c r="C274" s="456" t="s">
        <v>467</v>
      </c>
      <c r="D274" s="456" t="s">
        <v>468</v>
      </c>
      <c r="E274" s="456" t="s">
        <v>471</v>
      </c>
      <c r="F274" s="506">
        <f>F282</f>
        <v>0.85</v>
      </c>
      <c r="G274" s="472" t="s">
        <v>441</v>
      </c>
    </row>
    <row r="275" spans="1:9" s="460" customFormat="1" ht="15" hidden="1" x14ac:dyDescent="0.2">
      <c r="B275" s="477" t="str">
        <f t="shared" si="16"/>
        <v>OUI, eau + additif (surfactant, air, etc.)NONOUI (filtre à manche, électrofiltre, etc.)</v>
      </c>
      <c r="C275" s="456" t="s">
        <v>470</v>
      </c>
      <c r="D275" s="456" t="s">
        <v>64</v>
      </c>
      <c r="E275" s="456" t="s">
        <v>471</v>
      </c>
      <c r="F275" s="506">
        <f>F279</f>
        <v>0.75</v>
      </c>
      <c r="G275" s="472" t="s">
        <v>441</v>
      </c>
    </row>
    <row r="276" spans="1:9" s="460" customFormat="1" ht="15" hidden="1" x14ac:dyDescent="0.2">
      <c r="B276" s="477" t="str">
        <f t="shared" si="16"/>
        <v>OUI, eau + additif (surfactant, air, etc.)OUI, partielOUI (filtre à manche, électrofiltre, etc.)</v>
      </c>
      <c r="C276" s="456" t="s">
        <v>470</v>
      </c>
      <c r="D276" s="456" t="s">
        <v>468</v>
      </c>
      <c r="E276" s="456" t="s">
        <v>471</v>
      </c>
      <c r="F276" s="506">
        <f>F284</f>
        <v>0.92500000000000004</v>
      </c>
      <c r="G276" s="472" t="s">
        <v>441</v>
      </c>
    </row>
    <row r="277" spans="1:9" s="460" customFormat="1" ht="15" hidden="1" x14ac:dyDescent="0.2">
      <c r="B277" s="477" t="str">
        <f t="shared" si="16"/>
        <v>NONNONNON</v>
      </c>
      <c r="C277" s="456" t="s">
        <v>64</v>
      </c>
      <c r="D277" s="456" t="s">
        <v>64</v>
      </c>
      <c r="E277" s="456" t="s">
        <v>64</v>
      </c>
      <c r="F277" s="479">
        <f>(1-(1-$C$257)*(1-$C$257)*(1-$C$257))</f>
        <v>0</v>
      </c>
      <c r="G277" s="477" t="s">
        <v>520</v>
      </c>
    </row>
    <row r="278" spans="1:9" s="460" customFormat="1" ht="15" hidden="1" x14ac:dyDescent="0.2">
      <c r="A278" s="271"/>
      <c r="B278" s="477" t="str">
        <f t="shared" si="16"/>
        <v>OUI, eau simpleNONNON</v>
      </c>
      <c r="C278" s="456" t="s">
        <v>467</v>
      </c>
      <c r="D278" s="456" t="s">
        <v>64</v>
      </c>
      <c r="E278" s="456" t="s">
        <v>64</v>
      </c>
      <c r="F278" s="479">
        <f>(1-(1-$C$258)*(1-$C$257)*(1-$C$257))</f>
        <v>0.5</v>
      </c>
      <c r="G278" s="477" t="s">
        <v>520</v>
      </c>
      <c r="H278" s="271"/>
      <c r="I278" s="271"/>
    </row>
    <row r="279" spans="1:9" s="460" customFormat="1" ht="15" hidden="1" x14ac:dyDescent="0.2">
      <c r="A279" s="271"/>
      <c r="B279" s="477" t="str">
        <f t="shared" si="16"/>
        <v>OUI, eau + additif (surfactant, air, etc.)NONNON</v>
      </c>
      <c r="C279" s="456" t="s">
        <v>470</v>
      </c>
      <c r="D279" s="456" t="s">
        <v>64</v>
      </c>
      <c r="E279" s="456" t="s">
        <v>64</v>
      </c>
      <c r="F279" s="479">
        <f>(1-(1-$C$259)*(1-$C$257)*(1-$C$257))</f>
        <v>0.75</v>
      </c>
      <c r="G279" s="477" t="s">
        <v>520</v>
      </c>
      <c r="H279" s="271"/>
      <c r="I279" s="271"/>
    </row>
    <row r="280" spans="1:9" s="460" customFormat="1" ht="15" hidden="1" x14ac:dyDescent="0.2">
      <c r="A280" s="271"/>
      <c r="B280" s="477" t="str">
        <f t="shared" si="16"/>
        <v>NONOUI, partielNON</v>
      </c>
      <c r="C280" s="456" t="s">
        <v>64</v>
      </c>
      <c r="D280" s="456" t="s">
        <v>468</v>
      </c>
      <c r="E280" s="456" t="s">
        <v>64</v>
      </c>
      <c r="F280" s="479">
        <f>(1-(1-$C$257)*(1-$C$260)*(1-$C$257))</f>
        <v>0.7</v>
      </c>
      <c r="G280" s="477" t="s">
        <v>520</v>
      </c>
      <c r="H280" s="271"/>
      <c r="I280" s="271"/>
    </row>
    <row r="281" spans="1:9" s="460" customFormat="1" ht="15" hidden="1" x14ac:dyDescent="0.2">
      <c r="A281" s="271"/>
      <c r="B281" s="477" t="str">
        <f t="shared" si="16"/>
        <v>NONOUI, totalNON</v>
      </c>
      <c r="C281" s="456" t="s">
        <v>64</v>
      </c>
      <c r="D281" s="456" t="s">
        <v>469</v>
      </c>
      <c r="E281" s="456" t="s">
        <v>64</v>
      </c>
      <c r="F281" s="479">
        <f>(1-(1-$C$257)*(1-$C$261)*(1-$C$257))</f>
        <v>0.85</v>
      </c>
      <c r="G281" s="477" t="s">
        <v>520</v>
      </c>
      <c r="H281" s="271"/>
      <c r="I281" s="271"/>
    </row>
    <row r="282" spans="1:9" s="460" customFormat="1" ht="15" hidden="1" x14ac:dyDescent="0.2">
      <c r="A282" s="271"/>
      <c r="B282" s="477" t="str">
        <f t="shared" si="16"/>
        <v>OUI, eau simpleOUI, partielNON</v>
      </c>
      <c r="C282" s="456" t="s">
        <v>467</v>
      </c>
      <c r="D282" s="456" t="s">
        <v>468</v>
      </c>
      <c r="E282" s="456" t="s">
        <v>64</v>
      </c>
      <c r="F282" s="479">
        <f>(1-(1-$C$258)*(1-$C$260)*(1-$C$257))</f>
        <v>0.85</v>
      </c>
      <c r="G282" s="477" t="s">
        <v>520</v>
      </c>
      <c r="H282" s="271"/>
      <c r="I282" s="271"/>
    </row>
    <row r="283" spans="1:9" s="460" customFormat="1" ht="15" hidden="1" x14ac:dyDescent="0.2">
      <c r="A283" s="271"/>
      <c r="B283" s="477" t="str">
        <f t="shared" si="16"/>
        <v>OUI, eau simpleOUI, totalNON</v>
      </c>
      <c r="C283" s="456" t="s">
        <v>467</v>
      </c>
      <c r="D283" s="456" t="s">
        <v>469</v>
      </c>
      <c r="E283" s="456" t="s">
        <v>64</v>
      </c>
      <c r="F283" s="479">
        <f>(1-(1-$C$258)*(1-$C$261)*(1-$C$257))</f>
        <v>0.92500000000000004</v>
      </c>
      <c r="G283" s="477" t="s">
        <v>520</v>
      </c>
      <c r="H283" s="271"/>
    </row>
    <row r="284" spans="1:9" s="460" customFormat="1" ht="15" hidden="1" x14ac:dyDescent="0.2">
      <c r="A284" s="271"/>
      <c r="B284" s="477" t="str">
        <f t="shared" si="16"/>
        <v>OUI, eau + additif (surfactant, air, etc.)OUI, partielNON</v>
      </c>
      <c r="C284" s="456" t="s">
        <v>470</v>
      </c>
      <c r="D284" s="456" t="s">
        <v>468</v>
      </c>
      <c r="E284" s="456" t="s">
        <v>64</v>
      </c>
      <c r="F284" s="479">
        <f>(1-(1-$C$259)*(1-$C$260)*(1-$C$257))</f>
        <v>0.92500000000000004</v>
      </c>
      <c r="G284" s="477" t="s">
        <v>520</v>
      </c>
      <c r="H284" s="473"/>
    </row>
    <row r="285" spans="1:9" s="460" customFormat="1" ht="15" hidden="1" x14ac:dyDescent="0.2">
      <c r="A285" s="271"/>
      <c r="B285" s="477" t="str">
        <f t="shared" si="16"/>
        <v>OUI, eau + additif (surfactant, air, etc.)OUI, totalNON</v>
      </c>
      <c r="C285" s="456" t="s">
        <v>470</v>
      </c>
      <c r="D285" s="456" t="s">
        <v>469</v>
      </c>
      <c r="E285" s="456" t="s">
        <v>64</v>
      </c>
      <c r="F285" s="479">
        <f>(1-(1-$C$259)*(1-$C$261)*(1-$C$257))</f>
        <v>0.96250000000000002</v>
      </c>
      <c r="G285" s="477" t="s">
        <v>520</v>
      </c>
      <c r="H285" s="473"/>
    </row>
    <row r="286" spans="1:9" s="460" customFormat="1" ht="15" hidden="1" x14ac:dyDescent="0.2">
      <c r="A286" s="271"/>
      <c r="B286" s="477" t="str">
        <f t="shared" si="16"/>
        <v>NONOUI, totalOUI (filtre à manche, électrofiltre, etc.)</v>
      </c>
      <c r="C286" s="456" t="s">
        <v>64</v>
      </c>
      <c r="D286" s="456" t="s">
        <v>469</v>
      </c>
      <c r="E286" s="456" t="s">
        <v>471</v>
      </c>
      <c r="F286" s="479">
        <f>(1-(1-$C$257)*(1-$C$261)*(1-$C$262))</f>
        <v>0.99249999999999994</v>
      </c>
      <c r="G286" s="477" t="s">
        <v>520</v>
      </c>
      <c r="H286" s="271"/>
    </row>
    <row r="287" spans="1:9" s="460" customFormat="1" ht="15" hidden="1" x14ac:dyDescent="0.2">
      <c r="A287" s="271"/>
      <c r="B287" s="477" t="str">
        <f t="shared" si="16"/>
        <v>OUI, eau simpleOUI, totalOUI (filtre à manche, électrofiltre, etc.)</v>
      </c>
      <c r="C287" s="456" t="s">
        <v>467</v>
      </c>
      <c r="D287" s="456" t="s">
        <v>469</v>
      </c>
      <c r="E287" s="456" t="s">
        <v>471</v>
      </c>
      <c r="F287" s="479">
        <f>(1-(1-$C$258)*(1-$C$261)*(1-$C$262))</f>
        <v>0.99624999999999997</v>
      </c>
      <c r="G287" s="474" t="s">
        <v>494</v>
      </c>
      <c r="H287" s="271"/>
    </row>
    <row r="288" spans="1:9" s="460" customFormat="1" ht="15" hidden="1" x14ac:dyDescent="0.2">
      <c r="A288" s="271"/>
      <c r="B288" s="477" t="str">
        <f t="shared" si="16"/>
        <v>OUI, eau + additif (surfactant, air, etc.)OUI, totalOUI (filtre à manche, électrofiltre, etc.)</v>
      </c>
      <c r="C288" s="456" t="s">
        <v>470</v>
      </c>
      <c r="D288" s="456" t="s">
        <v>469</v>
      </c>
      <c r="E288" s="456" t="s">
        <v>471</v>
      </c>
      <c r="F288" s="479">
        <f>(1-(1-$C$259)*(1-$C$261)*(1-$C$262))</f>
        <v>0.99812500000000004</v>
      </c>
      <c r="G288" s="474" t="s">
        <v>494</v>
      </c>
      <c r="H288" s="271"/>
    </row>
    <row r="289" spans="1:9" s="460" customFormat="1" ht="12.75" hidden="1" x14ac:dyDescent="0.2">
      <c r="A289" s="271"/>
      <c r="F289" s="271"/>
      <c r="H289" s="271"/>
      <c r="I289" s="271"/>
    </row>
    <row r="290" spans="1:9" s="460" customFormat="1" ht="13.5" hidden="1" thickBot="1" x14ac:dyDescent="0.25">
      <c r="A290" s="271"/>
      <c r="B290" s="271"/>
      <c r="C290" s="473"/>
      <c r="D290" s="271"/>
      <c r="E290" s="271"/>
      <c r="F290" s="271"/>
      <c r="G290" s="271"/>
      <c r="H290" s="271"/>
      <c r="I290" s="271"/>
    </row>
    <row r="291" spans="1:9" s="462" customFormat="1" ht="18.75" hidden="1" thickBot="1" x14ac:dyDescent="0.3">
      <c r="A291" s="461" t="s">
        <v>495</v>
      </c>
    </row>
    <row r="292" spans="1:9" s="460" customFormat="1" ht="12.75" hidden="1" x14ac:dyDescent="0.2">
      <c r="A292" s="271"/>
      <c r="B292" s="271"/>
      <c r="C292" s="473"/>
      <c r="D292" s="271"/>
      <c r="E292" s="271"/>
      <c r="F292" s="271"/>
      <c r="G292" s="271"/>
      <c r="H292" s="271"/>
      <c r="I292" s="271"/>
    </row>
    <row r="293" spans="1:9" s="460" customFormat="1" ht="12.75" hidden="1" x14ac:dyDescent="0.2">
      <c r="A293" s="460" t="s">
        <v>496</v>
      </c>
    </row>
    <row r="294" spans="1:9" s="460" customFormat="1" ht="12.75" hidden="1" x14ac:dyDescent="0.2"/>
    <row r="295" spans="1:9" s="460" customFormat="1" ht="12.75" hidden="1" x14ac:dyDescent="0.2"/>
    <row r="296" spans="1:9" s="460" customFormat="1" ht="12.75" hidden="1" x14ac:dyDescent="0.2">
      <c r="B296" s="464" t="s">
        <v>480</v>
      </c>
      <c r="C296" s="464" t="s">
        <v>481</v>
      </c>
    </row>
    <row r="297" spans="1:9" s="460" customFormat="1" ht="12.75" hidden="1" x14ac:dyDescent="0.2">
      <c r="B297" s="465" t="s">
        <v>497</v>
      </c>
      <c r="C297" s="475">
        <v>0.5</v>
      </c>
    </row>
    <row r="298" spans="1:9" s="460" customFormat="1" ht="12.75" hidden="1" x14ac:dyDescent="0.2">
      <c r="B298" s="467" t="s">
        <v>498</v>
      </c>
      <c r="C298" s="475">
        <v>0.75</v>
      </c>
      <c r="D298" s="460" t="s">
        <v>499</v>
      </c>
    </row>
    <row r="299" spans="1:9" s="460" customFormat="1" ht="12.75" hidden="1" x14ac:dyDescent="0.2">
      <c r="B299" s="467" t="s">
        <v>500</v>
      </c>
      <c r="C299" s="475">
        <v>0.9</v>
      </c>
      <c r="D299" s="460" t="s">
        <v>499</v>
      </c>
    </row>
    <row r="300" spans="1:9" s="460" customFormat="1" ht="12.75" hidden="1" x14ac:dyDescent="0.2">
      <c r="B300" s="465" t="s">
        <v>501</v>
      </c>
      <c r="C300" s="475">
        <v>0.95</v>
      </c>
    </row>
    <row r="301" spans="1:9" s="460" customFormat="1" ht="12.75" hidden="1" x14ac:dyDescent="0.2">
      <c r="B301" s="465" t="s">
        <v>519</v>
      </c>
      <c r="C301" s="475">
        <v>1</v>
      </c>
    </row>
    <row r="302" spans="1:9" s="460" customFormat="1" ht="12.75" hidden="1" x14ac:dyDescent="0.2"/>
    <row r="303" spans="1:9" s="460" customFormat="1" ht="12.75" hidden="1" x14ac:dyDescent="0.2">
      <c r="A303" s="460" t="s">
        <v>502</v>
      </c>
    </row>
    <row r="304" spans="1:9" s="460" customFormat="1" ht="12.75" hidden="1" x14ac:dyDescent="0.2"/>
    <row r="305" spans="2:8" s="460" customFormat="1" ht="12.75" hidden="1" x14ac:dyDescent="0.2">
      <c r="B305" s="271" t="s">
        <v>491</v>
      </c>
      <c r="C305" s="271"/>
    </row>
    <row r="306" spans="2:8" s="460" customFormat="1" ht="12.75" hidden="1" x14ac:dyDescent="0.2">
      <c r="B306" s="271"/>
      <c r="C306" s="470" t="s">
        <v>503</v>
      </c>
    </row>
    <row r="307" spans="2:8" s="460" customFormat="1" ht="12.75" hidden="1" x14ac:dyDescent="0.2">
      <c r="B307" s="271"/>
      <c r="C307" s="470"/>
    </row>
    <row r="308" spans="2:8" s="460" customFormat="1" ht="51" hidden="1" x14ac:dyDescent="0.2">
      <c r="B308" s="639"/>
      <c r="C308" s="640" t="s">
        <v>519</v>
      </c>
      <c r="D308" s="640" t="s">
        <v>350</v>
      </c>
      <c r="E308" s="641" t="s">
        <v>440</v>
      </c>
      <c r="F308" s="640" t="s">
        <v>359</v>
      </c>
      <c r="G308" s="640" t="s">
        <v>504</v>
      </c>
      <c r="H308" s="640" t="s">
        <v>522</v>
      </c>
    </row>
    <row r="309" spans="2:8" s="460" customFormat="1" ht="15" hidden="1" x14ac:dyDescent="0.2">
      <c r="B309" s="642" t="str">
        <f>CONCATENATE(C309,D309,E309,F309)</f>
        <v>NONNONNONOUI (filtre à manche, électrofiltre, etc.)</v>
      </c>
      <c r="C309" s="642" t="s">
        <v>64</v>
      </c>
      <c r="D309" s="643" t="s">
        <v>64</v>
      </c>
      <c r="E309" s="643" t="s">
        <v>64</v>
      </c>
      <c r="F309" s="643" t="s">
        <v>471</v>
      </c>
      <c r="G309" s="644">
        <v>0</v>
      </c>
      <c r="H309" s="645" t="s">
        <v>441</v>
      </c>
    </row>
    <row r="310" spans="2:8" s="460" customFormat="1" ht="15" hidden="1" x14ac:dyDescent="0.2">
      <c r="B310" s="642" t="str">
        <f t="shared" ref="B310:B332" si="17">CONCATENATE(C310,D310,E310,F310)</f>
        <v>NONOUI, eau simpleNONOUI (filtre à manche, électrofiltre, etc.)</v>
      </c>
      <c r="C310" s="642" t="s">
        <v>64</v>
      </c>
      <c r="D310" s="643" t="s">
        <v>467</v>
      </c>
      <c r="E310" s="643" t="s">
        <v>64</v>
      </c>
      <c r="F310" s="643" t="s">
        <v>471</v>
      </c>
      <c r="G310" s="644">
        <f>G315</f>
        <v>0.75</v>
      </c>
      <c r="H310" s="645" t="s">
        <v>441</v>
      </c>
    </row>
    <row r="311" spans="2:8" s="460" customFormat="1" ht="15" hidden="1" x14ac:dyDescent="0.2">
      <c r="B311" s="642" t="str">
        <f t="shared" si="17"/>
        <v>NONOUI, eau + additif (surfactant, air, etc.)NONOUI (filtre à manche, électrofiltre, etc.)</v>
      </c>
      <c r="C311" s="642" t="s">
        <v>64</v>
      </c>
      <c r="D311" s="643" t="s">
        <v>470</v>
      </c>
      <c r="E311" s="643" t="s">
        <v>64</v>
      </c>
      <c r="F311" s="643" t="s">
        <v>471</v>
      </c>
      <c r="G311" s="644">
        <f>G317</f>
        <v>0.9</v>
      </c>
      <c r="H311" s="645" t="s">
        <v>441</v>
      </c>
    </row>
    <row r="312" spans="2:8" s="460" customFormat="1" ht="15" hidden="1" x14ac:dyDescent="0.2">
      <c r="B312" s="642" t="str">
        <f t="shared" si="17"/>
        <v>NONNONNONNON</v>
      </c>
      <c r="C312" s="642" t="s">
        <v>64</v>
      </c>
      <c r="D312" s="643" t="s">
        <v>64</v>
      </c>
      <c r="E312" s="643" t="s">
        <v>64</v>
      </c>
      <c r="F312" s="643" t="s">
        <v>64</v>
      </c>
      <c r="G312" s="645">
        <v>0</v>
      </c>
      <c r="H312" s="642" t="s">
        <v>520</v>
      </c>
    </row>
    <row r="313" spans="2:8" s="460" customFormat="1" ht="15" hidden="1" x14ac:dyDescent="0.2">
      <c r="B313" s="642" t="str">
        <f t="shared" si="17"/>
        <v>NONNONOUINON</v>
      </c>
      <c r="C313" s="642" t="s">
        <v>64</v>
      </c>
      <c r="D313" s="643" t="s">
        <v>64</v>
      </c>
      <c r="E313" s="643" t="s">
        <v>65</v>
      </c>
      <c r="F313" s="643" t="s">
        <v>64</v>
      </c>
      <c r="G313" s="646">
        <f>(1-(1-$C$297))</f>
        <v>0.5</v>
      </c>
      <c r="H313" s="642" t="s">
        <v>520</v>
      </c>
    </row>
    <row r="314" spans="2:8" s="460" customFormat="1" ht="15" hidden="1" x14ac:dyDescent="0.2">
      <c r="B314" s="642" t="str">
        <f t="shared" si="17"/>
        <v>NONOUI, eau simpleOUINON</v>
      </c>
      <c r="C314" s="642" t="s">
        <v>64</v>
      </c>
      <c r="D314" s="643" t="s">
        <v>467</v>
      </c>
      <c r="E314" s="643" t="s">
        <v>65</v>
      </c>
      <c r="F314" s="643" t="s">
        <v>64</v>
      </c>
      <c r="G314" s="646">
        <f>(1-(1-$C$298))</f>
        <v>0.75</v>
      </c>
      <c r="H314" s="642" t="s">
        <v>520</v>
      </c>
    </row>
    <row r="315" spans="2:8" s="460" customFormat="1" ht="15" hidden="1" x14ac:dyDescent="0.2">
      <c r="B315" s="642" t="str">
        <f t="shared" si="17"/>
        <v>NONOUI, eau simpleNONNON</v>
      </c>
      <c r="C315" s="642" t="s">
        <v>64</v>
      </c>
      <c r="D315" s="643" t="s">
        <v>467</v>
      </c>
      <c r="E315" s="643" t="s">
        <v>64</v>
      </c>
      <c r="F315" s="643" t="s">
        <v>64</v>
      </c>
      <c r="G315" s="476">
        <f>G314</f>
        <v>0.75</v>
      </c>
      <c r="H315" s="642" t="s">
        <v>520</v>
      </c>
    </row>
    <row r="316" spans="2:8" s="460" customFormat="1" ht="15" hidden="1" x14ac:dyDescent="0.2">
      <c r="B316" s="642" t="str">
        <f t="shared" si="17"/>
        <v>NONOUI, eau + additif (surfactant, air, etc.)OUINON</v>
      </c>
      <c r="C316" s="642" t="s">
        <v>64</v>
      </c>
      <c r="D316" s="643" t="s">
        <v>470</v>
      </c>
      <c r="E316" s="643" t="s">
        <v>65</v>
      </c>
      <c r="F316" s="643" t="s">
        <v>64</v>
      </c>
      <c r="G316" s="646">
        <f>(1-(1-$C$299))</f>
        <v>0.9</v>
      </c>
      <c r="H316" s="642" t="s">
        <v>520</v>
      </c>
    </row>
    <row r="317" spans="2:8" s="460" customFormat="1" ht="15" hidden="1" x14ac:dyDescent="0.2">
      <c r="B317" s="642" t="str">
        <f t="shared" si="17"/>
        <v>NONOUI, eau + additif (surfactant, air, etc.)NONNON</v>
      </c>
      <c r="C317" s="642" t="s">
        <v>64</v>
      </c>
      <c r="D317" s="643" t="s">
        <v>470</v>
      </c>
      <c r="E317" s="643" t="s">
        <v>64</v>
      </c>
      <c r="F317" s="643" t="s">
        <v>64</v>
      </c>
      <c r="G317" s="476">
        <f>G316</f>
        <v>0.9</v>
      </c>
      <c r="H317" s="642" t="s">
        <v>520</v>
      </c>
    </row>
    <row r="318" spans="2:8" s="460" customFormat="1" ht="15" hidden="1" x14ac:dyDescent="0.2">
      <c r="B318" s="642" t="str">
        <f t="shared" si="17"/>
        <v>NONNONOUIOUI (filtre à manche, électrofiltre, etc.)</v>
      </c>
      <c r="C318" s="642" t="s">
        <v>64</v>
      </c>
      <c r="D318" s="643" t="s">
        <v>64</v>
      </c>
      <c r="E318" s="643" t="s">
        <v>65</v>
      </c>
      <c r="F318" s="643" t="s">
        <v>471</v>
      </c>
      <c r="G318" s="646">
        <f>(1-(1-$C$300))</f>
        <v>0.95</v>
      </c>
      <c r="H318" s="642" t="s">
        <v>520</v>
      </c>
    </row>
    <row r="319" spans="2:8" s="460" customFormat="1" ht="15" hidden="1" x14ac:dyDescent="0.2">
      <c r="B319" s="642" t="str">
        <f t="shared" si="17"/>
        <v>NONOUI, eau simpleOUIOUI (filtre à manche, électrofiltre, etc.)</v>
      </c>
      <c r="C319" s="642" t="s">
        <v>64</v>
      </c>
      <c r="D319" s="643" t="s">
        <v>467</v>
      </c>
      <c r="E319" s="643" t="s">
        <v>65</v>
      </c>
      <c r="F319" s="643" t="s">
        <v>471</v>
      </c>
      <c r="G319" s="645">
        <f>(1-(1-$C$298)*(1-$C$300))</f>
        <v>0.98750000000000004</v>
      </c>
      <c r="H319" s="647" t="s">
        <v>494</v>
      </c>
    </row>
    <row r="320" spans="2:8" s="460" customFormat="1" ht="15" hidden="1" x14ac:dyDescent="0.2">
      <c r="B320" s="642" t="str">
        <f t="shared" si="17"/>
        <v>NONOUI, eau + additif (surfactant, air, etc.)OUIOUI (filtre à manche, électrofiltre, etc.)</v>
      </c>
      <c r="C320" s="642" t="s">
        <v>64</v>
      </c>
      <c r="D320" s="643" t="s">
        <v>470</v>
      </c>
      <c r="E320" s="643" t="s">
        <v>65</v>
      </c>
      <c r="F320" s="643" t="s">
        <v>471</v>
      </c>
      <c r="G320" s="645">
        <f>(1-(1-$C$299)*(1-$C$300))</f>
        <v>0.995</v>
      </c>
      <c r="H320" s="647" t="s">
        <v>494</v>
      </c>
    </row>
    <row r="321" spans="2:8" ht="15" hidden="1" x14ac:dyDescent="0.2">
      <c r="B321" s="642" t="str">
        <f t="shared" si="17"/>
        <v>OUINONNONNON</v>
      </c>
      <c r="C321" s="648" t="s">
        <v>65</v>
      </c>
      <c r="D321" s="643" t="s">
        <v>64</v>
      </c>
      <c r="E321" s="643" t="s">
        <v>64</v>
      </c>
      <c r="F321" s="643" t="s">
        <v>64</v>
      </c>
      <c r="G321" s="649">
        <f>$C$301</f>
        <v>1</v>
      </c>
      <c r="H321" s="642" t="s">
        <v>520</v>
      </c>
    </row>
    <row r="322" spans="2:8" ht="15" hidden="1" x14ac:dyDescent="0.2">
      <c r="B322" s="642" t="str">
        <f t="shared" si="17"/>
        <v>OUINONNONOUI (filtre à manche, électrofiltre, etc.)</v>
      </c>
      <c r="C322" s="648" t="s">
        <v>65</v>
      </c>
      <c r="D322" s="643" t="s">
        <v>64</v>
      </c>
      <c r="E322" s="643" t="s">
        <v>64</v>
      </c>
      <c r="F322" s="643" t="s">
        <v>471</v>
      </c>
      <c r="G322" s="649">
        <f t="shared" ref="G322:G332" si="18">$C$301</f>
        <v>1</v>
      </c>
      <c r="H322" s="647" t="s">
        <v>521</v>
      </c>
    </row>
    <row r="323" spans="2:8" ht="15" hidden="1" x14ac:dyDescent="0.2">
      <c r="B323" s="642" t="str">
        <f t="shared" si="17"/>
        <v>OUIOUI, eau simpleNONOUI (filtre à manche, électrofiltre, etc.)</v>
      </c>
      <c r="C323" s="648" t="s">
        <v>65</v>
      </c>
      <c r="D323" s="643" t="s">
        <v>467</v>
      </c>
      <c r="E323" s="643" t="s">
        <v>64</v>
      </c>
      <c r="F323" s="643" t="s">
        <v>471</v>
      </c>
      <c r="G323" s="649">
        <f t="shared" si="18"/>
        <v>1</v>
      </c>
      <c r="H323" s="647" t="s">
        <v>521</v>
      </c>
    </row>
    <row r="324" spans="2:8" ht="15" hidden="1" x14ac:dyDescent="0.2">
      <c r="B324" s="642" t="str">
        <f t="shared" si="17"/>
        <v>OUIOUI, eau + additif (surfactant, air, etc.)NONOUI (filtre à manche, électrofiltre, etc.)</v>
      </c>
      <c r="C324" s="648" t="s">
        <v>65</v>
      </c>
      <c r="D324" s="643" t="s">
        <v>470</v>
      </c>
      <c r="E324" s="643" t="s">
        <v>64</v>
      </c>
      <c r="F324" s="643" t="s">
        <v>471</v>
      </c>
      <c r="G324" s="649">
        <f t="shared" si="18"/>
        <v>1</v>
      </c>
      <c r="H324" s="647" t="s">
        <v>521</v>
      </c>
    </row>
    <row r="325" spans="2:8" ht="15" hidden="1" x14ac:dyDescent="0.2">
      <c r="B325" s="642" t="str">
        <f t="shared" si="17"/>
        <v>OUINONOUINON</v>
      </c>
      <c r="C325" s="648" t="s">
        <v>65</v>
      </c>
      <c r="D325" s="643" t="s">
        <v>64</v>
      </c>
      <c r="E325" s="643" t="s">
        <v>65</v>
      </c>
      <c r="F325" s="643" t="s">
        <v>64</v>
      </c>
      <c r="G325" s="649">
        <f t="shared" si="18"/>
        <v>1</v>
      </c>
      <c r="H325" s="647" t="s">
        <v>521</v>
      </c>
    </row>
    <row r="326" spans="2:8" ht="15" hidden="1" x14ac:dyDescent="0.2">
      <c r="B326" s="642" t="str">
        <f t="shared" si="17"/>
        <v>OUIOUI, eau simpleOUINON</v>
      </c>
      <c r="C326" s="648" t="s">
        <v>65</v>
      </c>
      <c r="D326" s="643" t="s">
        <v>467</v>
      </c>
      <c r="E326" s="643" t="s">
        <v>65</v>
      </c>
      <c r="F326" s="643" t="s">
        <v>64</v>
      </c>
      <c r="G326" s="649">
        <f t="shared" si="18"/>
        <v>1</v>
      </c>
      <c r="H326" s="647" t="s">
        <v>521</v>
      </c>
    </row>
    <row r="327" spans="2:8" ht="15" hidden="1" x14ac:dyDescent="0.2">
      <c r="B327" s="642" t="str">
        <f t="shared" si="17"/>
        <v>OUIOUI, eau simpleNONNON</v>
      </c>
      <c r="C327" s="648" t="s">
        <v>65</v>
      </c>
      <c r="D327" s="643" t="s">
        <v>467</v>
      </c>
      <c r="E327" s="643" t="s">
        <v>64</v>
      </c>
      <c r="F327" s="643" t="s">
        <v>64</v>
      </c>
      <c r="G327" s="649">
        <f t="shared" si="18"/>
        <v>1</v>
      </c>
      <c r="H327" s="647" t="s">
        <v>521</v>
      </c>
    </row>
    <row r="328" spans="2:8" ht="15" hidden="1" x14ac:dyDescent="0.2">
      <c r="B328" s="642" t="str">
        <f t="shared" si="17"/>
        <v>OUIOUI, eau + additif (surfactant, air, etc.)OUINON</v>
      </c>
      <c r="C328" s="648" t="s">
        <v>65</v>
      </c>
      <c r="D328" s="643" t="s">
        <v>470</v>
      </c>
      <c r="E328" s="643" t="s">
        <v>65</v>
      </c>
      <c r="F328" s="643" t="s">
        <v>64</v>
      </c>
      <c r="G328" s="649">
        <f t="shared" si="18"/>
        <v>1</v>
      </c>
      <c r="H328" s="647" t="s">
        <v>521</v>
      </c>
    </row>
    <row r="329" spans="2:8" ht="15" hidden="1" x14ac:dyDescent="0.2">
      <c r="B329" s="642" t="str">
        <f t="shared" si="17"/>
        <v>OUIOUI, eau + additif (surfactant, air, etc.)NONNON</v>
      </c>
      <c r="C329" s="648" t="s">
        <v>65</v>
      </c>
      <c r="D329" s="643" t="s">
        <v>470</v>
      </c>
      <c r="E329" s="643" t="s">
        <v>64</v>
      </c>
      <c r="F329" s="643" t="s">
        <v>64</v>
      </c>
      <c r="G329" s="649">
        <f t="shared" si="18"/>
        <v>1</v>
      </c>
      <c r="H329" s="647" t="s">
        <v>521</v>
      </c>
    </row>
    <row r="330" spans="2:8" ht="15" hidden="1" x14ac:dyDescent="0.2">
      <c r="B330" s="642" t="str">
        <f t="shared" si="17"/>
        <v>OUINONOUIOUI (filtre à manche, électrofiltre, etc.)</v>
      </c>
      <c r="C330" s="648" t="s">
        <v>65</v>
      </c>
      <c r="D330" s="643" t="s">
        <v>64</v>
      </c>
      <c r="E330" s="643" t="s">
        <v>65</v>
      </c>
      <c r="F330" s="643" t="s">
        <v>471</v>
      </c>
      <c r="G330" s="649">
        <f t="shared" si="18"/>
        <v>1</v>
      </c>
      <c r="H330" s="647" t="s">
        <v>521</v>
      </c>
    </row>
    <row r="331" spans="2:8" ht="15" hidden="1" x14ac:dyDescent="0.2">
      <c r="B331" s="642" t="str">
        <f t="shared" si="17"/>
        <v>OUIOUI, eau simpleOUIOUI (filtre à manche, électrofiltre, etc.)</v>
      </c>
      <c r="C331" s="648" t="s">
        <v>65</v>
      </c>
      <c r="D331" s="643" t="s">
        <v>467</v>
      </c>
      <c r="E331" s="643" t="s">
        <v>65</v>
      </c>
      <c r="F331" s="643" t="s">
        <v>471</v>
      </c>
      <c r="G331" s="649">
        <f t="shared" si="18"/>
        <v>1</v>
      </c>
      <c r="H331" s="647" t="s">
        <v>521</v>
      </c>
    </row>
    <row r="332" spans="2:8" ht="15" hidden="1" x14ac:dyDescent="0.2">
      <c r="B332" s="650" t="str">
        <f t="shared" si="17"/>
        <v>OUIOUI, eau + additif (surfactant, air, etc.)OUIOUI (filtre à manche, électrofiltre, etc.)</v>
      </c>
      <c r="C332" s="648" t="s">
        <v>65</v>
      </c>
      <c r="D332" s="643" t="s">
        <v>470</v>
      </c>
      <c r="E332" s="643" t="s">
        <v>65</v>
      </c>
      <c r="F332" s="643" t="s">
        <v>471</v>
      </c>
      <c r="G332" s="649">
        <f t="shared" si="18"/>
        <v>1</v>
      </c>
      <c r="H332" s="647" t="s">
        <v>521</v>
      </c>
    </row>
    <row r="333" spans="2:8" hidden="1" x14ac:dyDescent="0.2">
      <c r="B333" s="511"/>
    </row>
    <row r="334" spans="2:8" hidden="1" x14ac:dyDescent="0.2"/>
  </sheetData>
  <sheetProtection algorithmName="SHA-512" hashValue="tFzM6aL6+xk4kWfO1kzLmFxdb7WkcyXsbHxwKL/faJ4tZOWjNEuU6Rj7lw1kgUIISYw76YCaL3m0oiiZuiIyaQ==" saltValue="VJ6vVoT+S1LY7xqeoN6qfA==" spinCount="100000" sheet="1" selectLockedCells="1"/>
  <mergeCells count="110">
    <mergeCell ref="B122:L122"/>
    <mergeCell ref="B103:L103"/>
    <mergeCell ref="B104:L104"/>
    <mergeCell ref="B105:L105"/>
    <mergeCell ref="B106:L106"/>
    <mergeCell ref="B119:L119"/>
    <mergeCell ref="I79:K79"/>
    <mergeCell ref="B88:D88"/>
    <mergeCell ref="E88:G88"/>
    <mergeCell ref="B87:D87"/>
    <mergeCell ref="E87:G87"/>
    <mergeCell ref="B120:L120"/>
    <mergeCell ref="B121:L121"/>
    <mergeCell ref="I74:K74"/>
    <mergeCell ref="E62:F62"/>
    <mergeCell ref="E61:F61"/>
    <mergeCell ref="E59:F59"/>
    <mergeCell ref="I75:K75"/>
    <mergeCell ref="I76:K76"/>
    <mergeCell ref="I77:K77"/>
    <mergeCell ref="B58:B61"/>
    <mergeCell ref="C60:D60"/>
    <mergeCell ref="E60:F60"/>
    <mergeCell ref="B74:G74"/>
    <mergeCell ref="B75:G75"/>
    <mergeCell ref="B69:G69"/>
    <mergeCell ref="B70:G70"/>
    <mergeCell ref="B71:G71"/>
    <mergeCell ref="L15:N15"/>
    <mergeCell ref="L16:N16"/>
    <mergeCell ref="L17:N17"/>
    <mergeCell ref="A232:B232"/>
    <mergeCell ref="C55:D55"/>
    <mergeCell ref="C53:D53"/>
    <mergeCell ref="C61:D61"/>
    <mergeCell ref="C59:D59"/>
    <mergeCell ref="C58:D58"/>
    <mergeCell ref="C57:D57"/>
    <mergeCell ref="C56:D56"/>
    <mergeCell ref="A227:B227"/>
    <mergeCell ref="A228:B228"/>
    <mergeCell ref="A229:B229"/>
    <mergeCell ref="A230:B230"/>
    <mergeCell ref="A231:B231"/>
    <mergeCell ref="A223:B223"/>
    <mergeCell ref="A224:B224"/>
    <mergeCell ref="A225:B225"/>
    <mergeCell ref="C62:D62"/>
    <mergeCell ref="C54:D54"/>
    <mergeCell ref="A226:B226"/>
    <mergeCell ref="A207:D207"/>
    <mergeCell ref="B79:G79"/>
    <mergeCell ref="B15:D15"/>
    <mergeCell ref="B16:D16"/>
    <mergeCell ref="B17:D17"/>
    <mergeCell ref="E15:G15"/>
    <mergeCell ref="E16:G16"/>
    <mergeCell ref="E17:G17"/>
    <mergeCell ref="B23:D23"/>
    <mergeCell ref="E23:G23"/>
    <mergeCell ref="B25:D25"/>
    <mergeCell ref="E25:G25"/>
    <mergeCell ref="B41:L41"/>
    <mergeCell ref="B32:L32"/>
    <mergeCell ref="B53:B57"/>
    <mergeCell ref="B52:D52"/>
    <mergeCell ref="L23:N23"/>
    <mergeCell ref="B24:D24"/>
    <mergeCell ref="E24:G24"/>
    <mergeCell ref="L24:N24"/>
    <mergeCell ref="B36:B37"/>
    <mergeCell ref="C36:E36"/>
    <mergeCell ref="B33:L33"/>
    <mergeCell ref="B34:L34"/>
    <mergeCell ref="L25:N25"/>
    <mergeCell ref="E52:F52"/>
    <mergeCell ref="E44:E45"/>
    <mergeCell ref="E53:F53"/>
    <mergeCell ref="C44:C45"/>
    <mergeCell ref="B43:B45"/>
    <mergeCell ref="C43:D43"/>
    <mergeCell ref="E43:F43"/>
    <mergeCell ref="D44:D45"/>
    <mergeCell ref="F44:F45"/>
    <mergeCell ref="E56:F56"/>
    <mergeCell ref="E55:F55"/>
    <mergeCell ref="C235:E235"/>
    <mergeCell ref="C239:E239"/>
    <mergeCell ref="C243:E243"/>
    <mergeCell ref="B73:G73"/>
    <mergeCell ref="I73:K73"/>
    <mergeCell ref="I72:K72"/>
    <mergeCell ref="B50:L50"/>
    <mergeCell ref="B64:L64"/>
    <mergeCell ref="I69:K69"/>
    <mergeCell ref="I70:K70"/>
    <mergeCell ref="I71:K71"/>
    <mergeCell ref="E58:F58"/>
    <mergeCell ref="F207:I207"/>
    <mergeCell ref="A81:L81"/>
    <mergeCell ref="I78:K78"/>
    <mergeCell ref="B86:D86"/>
    <mergeCell ref="E86:G86"/>
    <mergeCell ref="B76:G76"/>
    <mergeCell ref="B77:G77"/>
    <mergeCell ref="B78:G78"/>
    <mergeCell ref="B72:G72"/>
    <mergeCell ref="E54:F54"/>
    <mergeCell ref="E57:F57"/>
    <mergeCell ref="B65:K65"/>
  </mergeCells>
  <dataValidations count="3">
    <dataValidation type="whole" allowBlank="1" showInputMessage="1" showErrorMessage="1" error="Seule une valeur numérique entière est acceptée dans ce champs" sqref="I72 I74:I79" xr:uid="{00000000-0002-0000-0400-000000000000}">
      <formula1>0</formula1>
      <formula2>50</formula2>
    </dataValidation>
    <dataValidation allowBlank="1" showInputMessage="1" showErrorMessage="1" error="Seule une valeur contenue dans le menu déroulant est acceptée dans ce champs" sqref="I71" xr:uid="{00000000-0002-0000-0400-000001000000}"/>
    <dataValidation type="decimal" allowBlank="1" showInputMessage="1" showErrorMessage="1" error="Seule une valeur numérique est autorisée dans ce champ" sqref="I70" xr:uid="{00000000-0002-0000-0400-000002000000}">
      <formula1>0</formula1>
      <formula2>1000000000000000000</formula2>
    </dataValidation>
  </dataValidations>
  <printOptions horizontalCentered="1" verticalCentered="1"/>
  <pageMargins left="0.70866141732283472" right="0.70866141732283472" top="0.74803149606299213" bottom="0.74803149606299213" header="0.31496062992125984" footer="0.31496062992125984"/>
  <pageSetup paperSize="9" scale="2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B2:J290"/>
  <sheetViews>
    <sheetView showGridLines="0" tabSelected="1" topLeftCell="A40" zoomScale="70" zoomScaleNormal="70" workbookViewId="0">
      <selection activeCell="E33" sqref="E33"/>
    </sheetView>
  </sheetViews>
  <sheetFormatPr baseColWidth="10" defaultColWidth="11.42578125" defaultRowHeight="15" x14ac:dyDescent="0.25"/>
  <cols>
    <col min="1" max="1" width="6.140625" style="88" customWidth="1"/>
    <col min="2" max="2" width="70.85546875" style="88" customWidth="1"/>
    <col min="3" max="3" width="60.7109375" style="88" customWidth="1"/>
    <col min="4" max="5" width="68.140625" style="88" customWidth="1"/>
    <col min="6" max="6" width="14" style="88" customWidth="1"/>
    <col min="7" max="7" width="11.42578125" style="88"/>
    <col min="8" max="8" width="54.5703125" style="88" customWidth="1"/>
    <col min="9" max="16384" width="11.42578125" style="88"/>
  </cols>
  <sheetData>
    <row r="2" spans="2:10" ht="102.75" customHeight="1" x14ac:dyDescent="0.25">
      <c r="C2"/>
    </row>
    <row r="3" spans="2:10" ht="18" x14ac:dyDescent="0.25">
      <c r="B3" s="2" t="s">
        <v>56</v>
      </c>
      <c r="C3" s="3"/>
    </row>
    <row r="4" spans="2:10" ht="24" customHeight="1" x14ac:dyDescent="0.25">
      <c r="B4" s="2"/>
      <c r="C4" s="3"/>
    </row>
    <row r="5" spans="2:10" ht="20.25" customHeight="1" x14ac:dyDescent="0.25">
      <c r="B5" s="907" t="s">
        <v>74</v>
      </c>
      <c r="C5" s="908"/>
      <c r="D5" s="72" t="s">
        <v>39</v>
      </c>
    </row>
    <row r="6" spans="2:10" ht="20.25" customHeight="1" x14ac:dyDescent="0.25">
      <c r="B6" s="909" t="s">
        <v>75</v>
      </c>
      <c r="C6" s="910"/>
      <c r="D6" s="73" t="s">
        <v>39</v>
      </c>
    </row>
    <row r="7" spans="2:10" ht="20.25" customHeight="1" x14ac:dyDescent="0.25">
      <c r="B7" s="909" t="s">
        <v>299</v>
      </c>
      <c r="C7" s="910"/>
      <c r="D7" s="73"/>
    </row>
    <row r="8" spans="2:10" ht="20.25" customHeight="1" x14ac:dyDescent="0.25">
      <c r="B8" s="909" t="s">
        <v>140</v>
      </c>
      <c r="C8" s="910"/>
      <c r="D8" s="73" t="s">
        <v>39</v>
      </c>
    </row>
    <row r="9" spans="2:10" ht="20.25" customHeight="1" x14ac:dyDescent="0.25">
      <c r="B9" s="909" t="s">
        <v>77</v>
      </c>
      <c r="C9" s="910"/>
      <c r="D9" s="73" t="s">
        <v>39</v>
      </c>
    </row>
    <row r="10" spans="2:10" ht="20.25" customHeight="1" x14ac:dyDescent="0.25">
      <c r="B10" s="909" t="s">
        <v>84</v>
      </c>
      <c r="C10" s="910"/>
      <c r="D10" s="73" t="s">
        <v>39</v>
      </c>
    </row>
    <row r="11" spans="2:10" ht="20.25" customHeight="1" x14ac:dyDescent="0.25">
      <c r="B11" s="909" t="s">
        <v>78</v>
      </c>
      <c r="C11" s="910"/>
      <c r="D11" s="73" t="s">
        <v>39</v>
      </c>
    </row>
    <row r="12" spans="2:10" ht="20.25" customHeight="1" x14ac:dyDescent="0.25">
      <c r="B12" s="909" t="s">
        <v>79</v>
      </c>
      <c r="C12" s="910"/>
      <c r="D12" s="73" t="s">
        <v>39</v>
      </c>
    </row>
    <row r="13" spans="2:10" ht="20.25" customHeight="1" x14ac:dyDescent="0.25">
      <c r="B13" s="909" t="s">
        <v>80</v>
      </c>
      <c r="C13" s="910"/>
      <c r="D13" s="73" t="s">
        <v>39</v>
      </c>
    </row>
    <row r="14" spans="2:10" ht="20.25" customHeight="1" x14ac:dyDescent="0.25">
      <c r="B14" s="911" t="s">
        <v>85</v>
      </c>
      <c r="C14" s="912"/>
      <c r="D14" s="74" t="s">
        <v>39</v>
      </c>
    </row>
    <row r="15" spans="2:10" x14ac:dyDescent="0.25">
      <c r="C15" s="3"/>
      <c r="D15" s="3"/>
    </row>
    <row r="16" spans="2:10" ht="63" customHeight="1" x14ac:dyDescent="0.25">
      <c r="B16" s="17" t="s">
        <v>47</v>
      </c>
      <c r="C16" s="12" t="s">
        <v>327</v>
      </c>
      <c r="D16" s="12" t="s">
        <v>328</v>
      </c>
      <c r="E16" s="12" t="s">
        <v>310</v>
      </c>
      <c r="H16" s="747" t="s">
        <v>389</v>
      </c>
      <c r="I16" s="780"/>
      <c r="J16" s="748"/>
    </row>
    <row r="17" spans="2:10" ht="19.5" customHeight="1" x14ac:dyDescent="0.25">
      <c r="B17" s="56" t="s">
        <v>15</v>
      </c>
      <c r="C17" s="118">
        <f>IFERROR(C147,0)</f>
        <v>0</v>
      </c>
      <c r="D17" s="18">
        <f>C17*1000</f>
        <v>0</v>
      </c>
      <c r="E17" s="18">
        <f>IFERROR(C156,0)</f>
        <v>0</v>
      </c>
      <c r="H17" s="840">
        <f>IFERROR((C151-C147)*1000,0)</f>
        <v>0</v>
      </c>
      <c r="I17" s="841"/>
      <c r="J17" s="860"/>
    </row>
    <row r="18" spans="2:10" ht="19.5" customHeight="1" x14ac:dyDescent="0.25">
      <c r="B18" s="16" t="s">
        <v>63</v>
      </c>
      <c r="C18" s="19">
        <f>IFERROR(C148,0)</f>
        <v>0</v>
      </c>
      <c r="D18" s="19">
        <f>C18*1000</f>
        <v>0</v>
      </c>
      <c r="E18" s="19">
        <f>IFERROR(C157,0)</f>
        <v>0</v>
      </c>
      <c r="H18" s="858">
        <f>IFERROR((C152-C148)*1000,0)</f>
        <v>0</v>
      </c>
      <c r="I18" s="859"/>
      <c r="J18" s="861"/>
    </row>
    <row r="19" spans="2:10" x14ac:dyDescent="0.25">
      <c r="B19" s="49"/>
      <c r="C19" s="48"/>
      <c r="D19" s="3"/>
    </row>
    <row r="20" spans="2:10" ht="15.75" x14ac:dyDescent="0.25">
      <c r="B20" s="84" t="s">
        <v>154</v>
      </c>
      <c r="C20" s="48"/>
      <c r="D20" s="290"/>
    </row>
    <row r="21" spans="2:10" ht="37.5" customHeight="1" x14ac:dyDescent="0.25">
      <c r="B21" s="905" t="s">
        <v>168</v>
      </c>
      <c r="C21" s="905"/>
      <c r="D21" s="905"/>
    </row>
    <row r="22" spans="2:10" ht="25.5" customHeight="1" x14ac:dyDescent="0.25">
      <c r="B22" s="170" t="s">
        <v>155</v>
      </c>
      <c r="C22" s="48"/>
      <c r="D22" s="290"/>
    </row>
    <row r="23" spans="2:10" x14ac:dyDescent="0.25">
      <c r="B23" s="291"/>
      <c r="C23" s="48"/>
      <c r="D23" s="290"/>
    </row>
    <row r="24" spans="2:10" x14ac:dyDescent="0.25">
      <c r="B24" s="291"/>
      <c r="C24" s="48"/>
      <c r="D24" s="290"/>
    </row>
    <row r="25" spans="2:10" x14ac:dyDescent="0.25">
      <c r="B25" s="291"/>
      <c r="C25" s="48"/>
      <c r="D25" s="290"/>
    </row>
    <row r="26" spans="2:10" x14ac:dyDescent="0.25">
      <c r="B26" s="291"/>
      <c r="C26" s="48"/>
      <c r="D26" s="290"/>
    </row>
    <row r="27" spans="2:10" x14ac:dyDescent="0.25">
      <c r="B27" s="291"/>
      <c r="C27" s="48"/>
      <c r="D27" s="290"/>
    </row>
    <row r="28" spans="2:10" x14ac:dyDescent="0.25">
      <c r="B28" s="291"/>
      <c r="C28" s="48"/>
      <c r="D28" s="290"/>
    </row>
    <row r="29" spans="2:10" ht="15.75" x14ac:dyDescent="0.25">
      <c r="B29" s="4"/>
      <c r="C29" s="290"/>
      <c r="D29" s="290"/>
    </row>
    <row r="30" spans="2:10" ht="169.5" customHeight="1" x14ac:dyDescent="0.25">
      <c r="B30" s="906" t="s">
        <v>604</v>
      </c>
      <c r="C30" s="906"/>
      <c r="D30" s="906"/>
    </row>
    <row r="31" spans="2:10" ht="15.75" x14ac:dyDescent="0.25">
      <c r="B31" s="4"/>
      <c r="C31" s="290"/>
      <c r="D31" s="290"/>
    </row>
    <row r="32" spans="2:10" ht="15.75" x14ac:dyDescent="0.25">
      <c r="B32" s="837" t="s">
        <v>169</v>
      </c>
      <c r="C32" s="903" t="s">
        <v>164</v>
      </c>
      <c r="D32" s="292"/>
    </row>
    <row r="33" spans="2:5" ht="15.75" x14ac:dyDescent="0.25">
      <c r="B33" s="837"/>
      <c r="C33" s="903"/>
      <c r="D33" s="292"/>
    </row>
    <row r="34" spans="2:5" ht="23.25" customHeight="1" x14ac:dyDescent="0.25">
      <c r="B34" s="293" t="s">
        <v>167</v>
      </c>
      <c r="C34" s="455">
        <v>0</v>
      </c>
      <c r="D34" s="292"/>
    </row>
    <row r="35" spans="2:5" ht="23.25" customHeight="1" x14ac:dyDescent="0.25">
      <c r="B35" s="454" t="s">
        <v>170</v>
      </c>
      <c r="C35" s="52" t="s">
        <v>171</v>
      </c>
      <c r="D35" s="292"/>
    </row>
    <row r="36" spans="2:5" ht="23.25" customHeight="1" x14ac:dyDescent="0.25">
      <c r="B36" s="294" t="s">
        <v>172</v>
      </c>
      <c r="C36" s="295">
        <v>0.55000000000000004</v>
      </c>
      <c r="D36" s="292"/>
    </row>
    <row r="37" spans="2:5" ht="23.25" customHeight="1" x14ac:dyDescent="0.25">
      <c r="B37" s="294" t="s">
        <v>173</v>
      </c>
      <c r="C37" s="295">
        <v>0.7</v>
      </c>
      <c r="D37" s="292"/>
    </row>
    <row r="38" spans="2:5" ht="23.25" customHeight="1" x14ac:dyDescent="0.25">
      <c r="B38" s="296" t="s">
        <v>452</v>
      </c>
      <c r="C38" s="297">
        <v>0.9</v>
      </c>
      <c r="D38" s="292"/>
    </row>
    <row r="39" spans="2:5" x14ac:dyDescent="0.25">
      <c r="B39" s="176"/>
      <c r="C39" s="177"/>
      <c r="D39" s="175"/>
    </row>
    <row r="40" spans="2:5" ht="69.75" customHeight="1" x14ac:dyDescent="0.25">
      <c r="B40" s="904" t="s">
        <v>586</v>
      </c>
      <c r="C40" s="904"/>
      <c r="D40" s="904"/>
    </row>
    <row r="41" spans="2:5" x14ac:dyDescent="0.25">
      <c r="B41" s="176"/>
      <c r="C41" s="177"/>
      <c r="D41" s="175"/>
    </row>
    <row r="42" spans="2:5" ht="21.75" customHeight="1" x14ac:dyDescent="0.25">
      <c r="B42" s="4" t="s">
        <v>57</v>
      </c>
      <c r="C42" s="3"/>
      <c r="D42" s="3"/>
    </row>
    <row r="43" spans="2:5" ht="15.75" x14ac:dyDescent="0.25">
      <c r="B43" s="4"/>
      <c r="C43" s="3"/>
      <c r="D43" s="3"/>
    </row>
    <row r="44" spans="2:5" ht="15.75" x14ac:dyDescent="0.25">
      <c r="B44" s="919" t="s">
        <v>40</v>
      </c>
      <c r="C44" s="920"/>
      <c r="D44" s="10" t="s">
        <v>41</v>
      </c>
      <c r="E44" s="414" t="s">
        <v>390</v>
      </c>
    </row>
    <row r="45" spans="2:5" s="93" customFormat="1" ht="28.5" customHeight="1" x14ac:dyDescent="0.25">
      <c r="B45" s="921" t="s">
        <v>319</v>
      </c>
      <c r="C45" s="922"/>
      <c r="D45" s="5" t="s">
        <v>1</v>
      </c>
      <c r="E45" s="159">
        <f>'Fiche de renseignements'!$C$10</f>
        <v>0</v>
      </c>
    </row>
    <row r="46" spans="2:5" s="93" customFormat="1" ht="28.5" customHeight="1" x14ac:dyDescent="0.25">
      <c r="B46" s="915" t="s">
        <v>396</v>
      </c>
      <c r="C46" s="916"/>
      <c r="D46" s="52" t="s">
        <v>50</v>
      </c>
      <c r="E46" s="160">
        <f>VLOOKUP($B46,'Fiche de renseignements'!$B$64:$D$187,3,FALSE)/1000</f>
        <v>0</v>
      </c>
    </row>
    <row r="47" spans="2:5" s="93" customFormat="1" ht="28.5" customHeight="1" x14ac:dyDescent="0.25">
      <c r="B47" s="915" t="s">
        <v>320</v>
      </c>
      <c r="C47" s="916"/>
      <c r="D47" s="52" t="s">
        <v>37</v>
      </c>
      <c r="E47" s="518">
        <f>VLOOKUP($B47,'Fiche de renseignements'!$B$64:$D$187,3,FALSE)</f>
        <v>0</v>
      </c>
    </row>
    <row r="48" spans="2:5" s="93" customFormat="1" ht="28.5" customHeight="1" x14ac:dyDescent="0.25">
      <c r="B48" s="915" t="s">
        <v>354</v>
      </c>
      <c r="C48" s="916"/>
      <c r="D48" s="52" t="s">
        <v>52</v>
      </c>
      <c r="E48" s="160">
        <f>VLOOKUP($B48,'Fiche de renseignements'!$B$64:$D$187,3,FALSE)</f>
        <v>0</v>
      </c>
    </row>
    <row r="49" spans="2:5" s="93" customFormat="1" ht="28.5" customHeight="1" x14ac:dyDescent="0.25">
      <c r="B49" s="923" t="s">
        <v>321</v>
      </c>
      <c r="C49" s="924"/>
      <c r="D49" s="50" t="s">
        <v>365</v>
      </c>
      <c r="E49" s="162">
        <f>VLOOKUP($B49,'Fiche de renseignements'!$B$64:$D$187,3,FALSE)</f>
        <v>0</v>
      </c>
    </row>
    <row r="50" spans="2:5" s="93" customFormat="1" ht="28.5" customHeight="1" x14ac:dyDescent="0.25">
      <c r="B50" s="915" t="s">
        <v>332</v>
      </c>
      <c r="C50" s="916"/>
      <c r="D50" s="52" t="s">
        <v>51</v>
      </c>
      <c r="E50" s="273">
        <f>VLOOKUP($B50,'Fiche de renseignements'!$B$64:$D$187,3,FALSE)</f>
        <v>0</v>
      </c>
    </row>
    <row r="51" spans="2:5" s="93" customFormat="1" ht="28.5" customHeight="1" x14ac:dyDescent="0.25">
      <c r="B51" s="915" t="s">
        <v>534</v>
      </c>
      <c r="C51" s="916"/>
      <c r="D51" s="247" t="s">
        <v>1</v>
      </c>
      <c r="E51" s="162">
        <f>VLOOKUP($B51,'Fiche de renseignements'!$B$64:$D$187,3,FALSE)</f>
        <v>0</v>
      </c>
    </row>
    <row r="52" spans="2:5" s="93" customFormat="1" ht="28.5" customHeight="1" x14ac:dyDescent="0.25">
      <c r="B52" s="915" t="s">
        <v>537</v>
      </c>
      <c r="C52" s="916"/>
      <c r="D52" s="52" t="s">
        <v>51</v>
      </c>
      <c r="E52" s="161">
        <f>VLOOKUP($B52,'Fiche de renseignements'!$B$64:$D$187,3,FALSE)</f>
        <v>0</v>
      </c>
    </row>
    <row r="53" spans="2:5" s="93" customFormat="1" ht="28.5" customHeight="1" x14ac:dyDescent="0.25">
      <c r="B53" s="915" t="s">
        <v>391</v>
      </c>
      <c r="C53" s="916"/>
      <c r="D53" s="50" t="s">
        <v>55</v>
      </c>
      <c r="E53" s="162">
        <f>VLOOKUP($B53,'Fiche de renseignements'!$B$64:$D$187,3,FALSE)</f>
        <v>0</v>
      </c>
    </row>
    <row r="54" spans="2:5" ht="28.5" customHeight="1" x14ac:dyDescent="0.25">
      <c r="B54" s="915" t="s">
        <v>108</v>
      </c>
      <c r="C54" s="916"/>
      <c r="D54" s="50" t="s">
        <v>51</v>
      </c>
      <c r="E54" s="273">
        <f>VLOOKUP($B54,'Fiche de renseignements'!$B$64:$D$187,3,FALSE)</f>
        <v>0</v>
      </c>
    </row>
    <row r="55" spans="2:5" s="93" customFormat="1" ht="28.5" customHeight="1" x14ac:dyDescent="0.25">
      <c r="B55" s="915" t="s">
        <v>144</v>
      </c>
      <c r="C55" s="916"/>
      <c r="D55" s="52" t="s">
        <v>37</v>
      </c>
      <c r="E55" s="518">
        <f>VLOOKUP($B55,'Fiche de renseignements'!$B$64:$D$187,3,FALSE)</f>
        <v>0</v>
      </c>
    </row>
    <row r="56" spans="2:5" s="93" customFormat="1" ht="28.5" customHeight="1" x14ac:dyDescent="0.25">
      <c r="B56" s="915" t="s">
        <v>145</v>
      </c>
      <c r="C56" s="916"/>
      <c r="D56" s="52" t="s">
        <v>37</v>
      </c>
      <c r="E56" s="160">
        <f>VLOOKUP($B56,'Fiche de renseignements'!$B$64:$D$187,3,FALSE)</f>
        <v>0</v>
      </c>
    </row>
    <row r="57" spans="2:5" s="93" customFormat="1" ht="28.5" customHeight="1" x14ac:dyDescent="0.25">
      <c r="B57" s="915" t="s">
        <v>146</v>
      </c>
      <c r="C57" s="916"/>
      <c r="D57" s="52" t="s">
        <v>37</v>
      </c>
      <c r="E57" s="160">
        <f>VLOOKUP($B57,'Fiche de renseignements'!$B$64:$D$187,3,FALSE)</f>
        <v>0</v>
      </c>
    </row>
    <row r="58" spans="2:5" s="93" customFormat="1" ht="28.5" customHeight="1" x14ac:dyDescent="0.25">
      <c r="B58" s="915" t="s">
        <v>147</v>
      </c>
      <c r="C58" s="916"/>
      <c r="D58" s="52" t="s">
        <v>37</v>
      </c>
      <c r="E58" s="160">
        <f>VLOOKUP($B58,'Fiche de renseignements'!$B$64:$D$187,3,FALSE)</f>
        <v>0</v>
      </c>
    </row>
    <row r="59" spans="2:5" s="93" customFormat="1" ht="28.5" customHeight="1" x14ac:dyDescent="0.25">
      <c r="B59" s="915" t="s">
        <v>148</v>
      </c>
      <c r="C59" s="916"/>
      <c r="D59" s="50" t="s">
        <v>50</v>
      </c>
      <c r="E59" s="162">
        <f>VLOOKUP($B59,'Fiche de renseignements'!$B$64:$D$187,3,FALSE)/1000</f>
        <v>0</v>
      </c>
    </row>
    <row r="60" spans="2:5" s="93" customFormat="1" ht="28.5" customHeight="1" x14ac:dyDescent="0.25">
      <c r="B60" s="915" t="s">
        <v>333</v>
      </c>
      <c r="C60" s="916"/>
      <c r="D60" s="52" t="s">
        <v>51</v>
      </c>
      <c r="E60" s="273">
        <f>VLOOKUP($B60,'Fiche de renseignements'!$B$64:$D$187,3,FALSE)</f>
        <v>0</v>
      </c>
    </row>
    <row r="61" spans="2:5" s="93" customFormat="1" ht="28.5" customHeight="1" x14ac:dyDescent="0.25">
      <c r="B61" s="915" t="s">
        <v>535</v>
      </c>
      <c r="C61" s="916"/>
      <c r="D61" s="247" t="s">
        <v>1</v>
      </c>
      <c r="E61" s="162">
        <f>VLOOKUP($B61,'Fiche de renseignements'!$B$64:$D$187,3,FALSE)</f>
        <v>0</v>
      </c>
    </row>
    <row r="62" spans="2:5" s="93" customFormat="1" ht="28.5" customHeight="1" x14ac:dyDescent="0.25">
      <c r="B62" s="915" t="s">
        <v>536</v>
      </c>
      <c r="C62" s="916"/>
      <c r="D62" s="52" t="s">
        <v>51</v>
      </c>
      <c r="E62" s="161">
        <f>VLOOKUP($B62,'Fiche de renseignements'!$B$64:$D$187,3,FALSE)</f>
        <v>0</v>
      </c>
    </row>
    <row r="63" spans="2:5" s="93" customFormat="1" ht="28.5" customHeight="1" x14ac:dyDescent="0.25">
      <c r="B63" s="915" t="s">
        <v>392</v>
      </c>
      <c r="C63" s="916"/>
      <c r="D63" s="52" t="s">
        <v>351</v>
      </c>
      <c r="E63" s="162">
        <f>VLOOKUP($B63,'Fiche de renseignements'!$B$64:$D$187,3,FALSE)</f>
        <v>0</v>
      </c>
    </row>
    <row r="64" spans="2:5" s="93" customFormat="1" ht="28.5" customHeight="1" x14ac:dyDescent="0.25">
      <c r="B64" s="915" t="s">
        <v>393</v>
      </c>
      <c r="C64" s="916"/>
      <c r="D64" s="52" t="s">
        <v>51</v>
      </c>
      <c r="E64" s="161">
        <f>VLOOKUP($B64,'Fiche de renseignements'!$B$64:$D$187,3,FALSE)</f>
        <v>0</v>
      </c>
    </row>
    <row r="65" spans="2:9" s="93" customFormat="1" ht="25.5" customHeight="1" x14ac:dyDescent="0.25">
      <c r="B65" s="917" t="s">
        <v>62</v>
      </c>
      <c r="C65" s="918"/>
      <c r="D65" s="286" t="s">
        <v>52</v>
      </c>
      <c r="E65" s="287">
        <v>26</v>
      </c>
    </row>
    <row r="66" spans="2:9" s="93" customFormat="1" ht="25.5" customHeight="1" x14ac:dyDescent="0.25">
      <c r="B66" s="917" t="s">
        <v>66</v>
      </c>
      <c r="C66" s="918"/>
      <c r="D66" s="288" t="s">
        <v>53</v>
      </c>
      <c r="E66" s="289">
        <v>14</v>
      </c>
    </row>
    <row r="67" spans="2:9" s="93" customFormat="1" ht="25.5" customHeight="1" x14ac:dyDescent="0.25">
      <c r="B67" s="915" t="s">
        <v>196</v>
      </c>
      <c r="C67" s="916"/>
      <c r="D67" s="50" t="s">
        <v>1</v>
      </c>
      <c r="E67" s="162">
        <f>'Fiche de renseignements'!$C$7</f>
        <v>0</v>
      </c>
    </row>
    <row r="68" spans="2:9" s="93" customFormat="1" ht="25.5" customHeight="1" x14ac:dyDescent="0.25">
      <c r="B68" s="913" t="s">
        <v>86</v>
      </c>
      <c r="C68" s="914"/>
      <c r="D68" s="8" t="s">
        <v>54</v>
      </c>
      <c r="E68" s="491" t="e">
        <f>IF(VLOOKUP($B68,'Fiche de renseignements'!$B$64:$D$187,3,FALSE)=0,VLOOKUP($E$67,'Fiches n°4 et 5 - Stock'!$N$88:'Fiches n°4 et 5 - Stock'!$Q$183,3,FALSE),VLOOKUP($B68,'Fiche de renseignements'!$B$64:$D$187,3,FALSE))</f>
        <v>#N/A</v>
      </c>
      <c r="F68" s="189"/>
    </row>
    <row r="70" spans="2:9" hidden="1" x14ac:dyDescent="0.25"/>
    <row r="71" spans="2:9" ht="13.5" hidden="1" customHeight="1" x14ac:dyDescent="0.25">
      <c r="B71" s="68" t="s">
        <v>68</v>
      </c>
      <c r="C71" s="60"/>
      <c r="D71" s="59"/>
      <c r="E71" s="59"/>
      <c r="F71" s="59"/>
      <c r="G71" s="59"/>
      <c r="H71" s="59"/>
      <c r="I71" s="59"/>
    </row>
    <row r="72" spans="2:9" ht="13.5" hidden="1" customHeight="1" x14ac:dyDescent="0.25">
      <c r="B72" s="93" t="s">
        <v>363</v>
      </c>
      <c r="C72" s="63">
        <f>$E$50*$E$46</f>
        <v>0</v>
      </c>
    </row>
    <row r="73" spans="2:9" ht="13.5" hidden="1" customHeight="1" x14ac:dyDescent="0.25">
      <c r="B73" s="93" t="s">
        <v>364</v>
      </c>
      <c r="C73" s="63">
        <f>$E$46-$C$72</f>
        <v>0</v>
      </c>
    </row>
    <row r="74" spans="2:9" ht="13.5" hidden="1" customHeight="1" x14ac:dyDescent="0.25">
      <c r="B74" s="62" t="s">
        <v>67</v>
      </c>
      <c r="C74" s="64">
        <f>AVERAGE(SUM($E$48,$E$49),$E$49)</f>
        <v>0</v>
      </c>
    </row>
    <row r="75" spans="2:9" ht="13.5" hidden="1" customHeight="1" x14ac:dyDescent="0.25">
      <c r="B75" s="651" t="s">
        <v>70</v>
      </c>
      <c r="C75" s="652" t="e">
        <f>$E$47/$E$48</f>
        <v>#DIV/0!</v>
      </c>
    </row>
    <row r="76" spans="2:9" ht="13.5" hidden="1" customHeight="1" x14ac:dyDescent="0.25">
      <c r="B76" s="651" t="s">
        <v>366</v>
      </c>
      <c r="C76" s="652" t="e">
        <f>$C$72*$C$75*2</f>
        <v>#DIV/0!</v>
      </c>
    </row>
    <row r="77" spans="2:9" ht="13.5" hidden="1" customHeight="1" x14ac:dyDescent="0.25">
      <c r="B77" s="651" t="s">
        <v>367</v>
      </c>
      <c r="C77" s="652" t="e">
        <f>$C$73*$C$75*2</f>
        <v>#DIV/0!</v>
      </c>
    </row>
    <row r="78" spans="2:9" ht="13.5" hidden="1" customHeight="1" x14ac:dyDescent="0.25">
      <c r="B78" s="653" t="s">
        <v>543</v>
      </c>
      <c r="C78" s="654">
        <f>'Fiche de renseignements'!D165</f>
        <v>0</v>
      </c>
    </row>
    <row r="79" spans="2:9" ht="13.5" hidden="1" customHeight="1" x14ac:dyDescent="0.25">
      <c r="B79" s="574" t="s">
        <v>526</v>
      </c>
      <c r="C79" s="654">
        <f>E54</f>
        <v>0</v>
      </c>
    </row>
    <row r="80" spans="2:9" ht="13.5" hidden="1" customHeight="1" x14ac:dyDescent="0.25">
      <c r="B80" s="574" t="s">
        <v>527</v>
      </c>
      <c r="C80" s="655" t="e">
        <f>VLOOKUP(E53,$B$162:$C$165,2,FALSE)</f>
        <v>#N/A</v>
      </c>
    </row>
    <row r="81" spans="2:9" ht="13.5" hidden="1" customHeight="1" x14ac:dyDescent="0.25">
      <c r="B81" s="574" t="s">
        <v>540</v>
      </c>
      <c r="C81" s="656" t="e">
        <f>$E$68/365</f>
        <v>#N/A</v>
      </c>
    </row>
    <row r="82" spans="2:9" ht="13.5" hidden="1" customHeight="1" x14ac:dyDescent="0.25">
      <c r="B82" s="574" t="s">
        <v>541</v>
      </c>
      <c r="C82" s="656" t="e">
        <f>E68/(4*365)</f>
        <v>#N/A</v>
      </c>
    </row>
    <row r="83" spans="2:9" ht="13.5" hidden="1" customHeight="1" x14ac:dyDescent="0.25">
      <c r="B83" s="574" t="s">
        <v>593</v>
      </c>
      <c r="C83" s="657">
        <f>IF(ISNA(VLOOKUP(E51,B169:D171,3,FALSE)),D169,VLOOKUP(E51,B169:D171,3,FALSE))</f>
        <v>60</v>
      </c>
    </row>
    <row r="84" spans="2:9" ht="13.5" hidden="1" customHeight="1" x14ac:dyDescent="0.25">
      <c r="B84" s="69" t="s">
        <v>69</v>
      </c>
      <c r="C84" s="65"/>
      <c r="D84" s="59"/>
      <c r="E84" s="59"/>
      <c r="F84" s="59"/>
      <c r="G84" s="59"/>
      <c r="H84" s="59"/>
      <c r="I84" s="59"/>
    </row>
    <row r="85" spans="2:9" s="61" customFormat="1" ht="13.5" hidden="1" customHeight="1" x14ac:dyDescent="0.25">
      <c r="B85" s="93" t="s">
        <v>363</v>
      </c>
      <c r="C85" s="63">
        <f>$E$60*$E$59</f>
        <v>0</v>
      </c>
    </row>
    <row r="86" spans="2:9" s="61" customFormat="1" ht="13.5" hidden="1" customHeight="1" x14ac:dyDescent="0.25">
      <c r="B86" s="93" t="s">
        <v>364</v>
      </c>
      <c r="C86" s="509">
        <f>$E$59-$C$85</f>
        <v>0</v>
      </c>
    </row>
    <row r="87" spans="2:9" s="61" customFormat="1" ht="13.5" hidden="1" customHeight="1" x14ac:dyDescent="0.25">
      <c r="B87" s="62" t="s">
        <v>67</v>
      </c>
      <c r="C87" s="64">
        <f>AVERAGE(SUM($E$65:$E$66),$E$66)</f>
        <v>27</v>
      </c>
    </row>
    <row r="88" spans="2:9" ht="13.5" hidden="1" customHeight="1" x14ac:dyDescent="0.25">
      <c r="B88" s="651" t="s">
        <v>70</v>
      </c>
      <c r="C88" s="652">
        <f>$E$55/$E$65</f>
        <v>0</v>
      </c>
    </row>
    <row r="89" spans="2:9" ht="13.5" hidden="1" customHeight="1" x14ac:dyDescent="0.25">
      <c r="B89" s="651" t="s">
        <v>366</v>
      </c>
      <c r="C89" s="652">
        <f>$C$85*$C$88*2</f>
        <v>0</v>
      </c>
    </row>
    <row r="90" spans="2:9" ht="13.5" hidden="1" customHeight="1" x14ac:dyDescent="0.25">
      <c r="B90" s="651" t="s">
        <v>367</v>
      </c>
      <c r="C90" s="652">
        <f>$C$86*$C$88*2</f>
        <v>0</v>
      </c>
    </row>
    <row r="91" spans="2:9" ht="13.5" hidden="1" customHeight="1" x14ac:dyDescent="0.25">
      <c r="B91" s="653" t="s">
        <v>543</v>
      </c>
      <c r="C91" s="654">
        <f>E62</f>
        <v>0</v>
      </c>
    </row>
    <row r="92" spans="2:9" ht="13.5" hidden="1" customHeight="1" x14ac:dyDescent="0.25">
      <c r="B92" s="574" t="s">
        <v>526</v>
      </c>
      <c r="C92" s="654">
        <f>E64</f>
        <v>0</v>
      </c>
    </row>
    <row r="93" spans="2:9" ht="13.5" hidden="1" customHeight="1" x14ac:dyDescent="0.25">
      <c r="B93" s="574" t="s">
        <v>527</v>
      </c>
      <c r="C93" s="655" t="e">
        <f>VLOOKUP(E63,$B$162:$C$165,2,FALSE)</f>
        <v>#N/A</v>
      </c>
    </row>
    <row r="94" spans="2:9" ht="13.5" hidden="1" customHeight="1" x14ac:dyDescent="0.25">
      <c r="B94" s="574" t="s">
        <v>540</v>
      </c>
      <c r="C94" s="656" t="e">
        <f>$E$68/365</f>
        <v>#N/A</v>
      </c>
    </row>
    <row r="95" spans="2:9" ht="13.5" hidden="1" customHeight="1" x14ac:dyDescent="0.25">
      <c r="B95" s="574" t="s">
        <v>541</v>
      </c>
      <c r="C95" s="656" t="e">
        <f>E68/(4*365)</f>
        <v>#N/A</v>
      </c>
    </row>
    <row r="96" spans="2:9" ht="13.5" hidden="1" customHeight="1" x14ac:dyDescent="0.25">
      <c r="B96" s="574" t="s">
        <v>593</v>
      </c>
      <c r="C96" s="720">
        <f>IF(ISNA(VLOOKUP(E61,B169:D171,3,FALSE)),D169,VLOOKUP(E61,B169:D171,3,FALSE))</f>
        <v>60</v>
      </c>
    </row>
    <row r="97" spans="2:9" ht="13.5" hidden="1" customHeight="1" x14ac:dyDescent="0.25">
      <c r="B97" s="69" t="s">
        <v>395</v>
      </c>
      <c r="C97" s="65"/>
      <c r="D97" s="59"/>
      <c r="E97" s="59"/>
      <c r="F97" s="59"/>
      <c r="G97" s="59"/>
      <c r="H97" s="59"/>
      <c r="I97" s="59"/>
    </row>
    <row r="98" spans="2:9" ht="15" hidden="1" customHeight="1" x14ac:dyDescent="0.25">
      <c r="B98" s="88" t="s">
        <v>523</v>
      </c>
      <c r="C98" s="78">
        <v>6.5000000000000002E-2</v>
      </c>
      <c r="D98" s="53" t="s">
        <v>507</v>
      </c>
      <c r="G98" s="94"/>
    </row>
    <row r="99" spans="2:9" ht="15" hidden="1" customHeight="1" x14ac:dyDescent="0.25">
      <c r="B99" s="574" t="s">
        <v>542</v>
      </c>
      <c r="C99" s="719">
        <f>D169</f>
        <v>60</v>
      </c>
      <c r="D99" s="658" t="s">
        <v>547</v>
      </c>
      <c r="G99" s="94"/>
    </row>
    <row r="100" spans="2:9" ht="15" hidden="1" customHeight="1" x14ac:dyDescent="0.25">
      <c r="C100" s="90"/>
      <c r="D100" s="90"/>
    </row>
    <row r="101" spans="2:9" ht="15.75" hidden="1" customHeight="1" x14ac:dyDescent="0.25">
      <c r="B101" s="68" t="s">
        <v>68</v>
      </c>
      <c r="C101" s="60"/>
      <c r="D101" s="59"/>
      <c r="E101" s="59"/>
      <c r="F101" s="59"/>
      <c r="G101" s="59"/>
      <c r="H101" s="59"/>
      <c r="I101" s="59"/>
    </row>
    <row r="102" spans="2:9" ht="30" hidden="1" customHeight="1" x14ac:dyDescent="0.25">
      <c r="B102" s="89" t="s">
        <v>60</v>
      </c>
      <c r="C102" s="659" t="s">
        <v>562</v>
      </c>
      <c r="D102" s="659" t="s">
        <v>563</v>
      </c>
    </row>
    <row r="103" spans="2:9" ht="15" hidden="1" customHeight="1" x14ac:dyDescent="0.25">
      <c r="B103" s="88" t="s">
        <v>26</v>
      </c>
      <c r="C103" s="660" t="e">
        <f>1.381*(($C$98*100/12)^0.7)*(($C$74/2.72)^0.45)*1000*(1-$C$81)*(1-$C$80)</f>
        <v>#N/A</v>
      </c>
      <c r="D103" s="660" t="e">
        <f>1.381*(($C$98*100/12)^0.7)*(($C$74/2.72)^0.45)*1000*(1-$C$81)</f>
        <v>#N/A</v>
      </c>
    </row>
    <row r="104" spans="2:9" ht="15" hidden="1" customHeight="1" x14ac:dyDescent="0.25">
      <c r="B104" s="88" t="s">
        <v>30</v>
      </c>
      <c r="C104" s="660" t="e">
        <f>0.423*(($C$98*100/12)^0.9)*(($C$74/2.72)^0.45)*1000*(1-$C$81)*(1-$C$80)</f>
        <v>#N/A</v>
      </c>
      <c r="D104" s="660" t="e">
        <f>0.423*(($C$98*100/12)^0.9)*(($C$74/2.72)^0.45)*1000*(1-$C$81)</f>
        <v>#N/A</v>
      </c>
    </row>
    <row r="105" spans="2:9" ht="15" hidden="1" customHeight="1" x14ac:dyDescent="0.25">
      <c r="B105" s="88" t="s">
        <v>32</v>
      </c>
      <c r="C105" s="660" t="e">
        <f>0.042*(($C$98*100/12)^0.9)*(($C$74/2.72)^0.45)*1000*(1-$C$81)*(1-$C$80)</f>
        <v>#N/A</v>
      </c>
      <c r="D105" s="660" t="e">
        <f>0.042*(($C$98*100/12)^0.9)*(($C$74/2.72)^0.45)*1000*(1-$C$81)</f>
        <v>#N/A</v>
      </c>
    </row>
    <row r="106" spans="2:9" ht="15" hidden="1" customHeight="1" x14ac:dyDescent="0.25">
      <c r="B106" s="89" t="s">
        <v>60</v>
      </c>
      <c r="C106" s="659" t="s">
        <v>545</v>
      </c>
      <c r="D106" s="659" t="s">
        <v>544</v>
      </c>
      <c r="E106" s="556"/>
    </row>
    <row r="107" spans="2:9" ht="15" hidden="1" customHeight="1" x14ac:dyDescent="0.25">
      <c r="B107" s="88" t="s">
        <v>26</v>
      </c>
      <c r="C107" s="660" t="e">
        <f>3.23*$C$83^0.91*($C$74*1.1)^1.02*(1-$C$82)</f>
        <v>#N/A</v>
      </c>
      <c r="D107" s="660" t="e">
        <f>3.23*$C$99^0.91*($C$74*1.1)^1.02*(1-$C$82)</f>
        <v>#N/A</v>
      </c>
      <c r="E107" s="556"/>
    </row>
    <row r="108" spans="2:9" ht="15" hidden="1" customHeight="1" x14ac:dyDescent="0.25">
      <c r="B108" s="88" t="s">
        <v>30</v>
      </c>
      <c r="C108" s="660" t="e">
        <f>0.62*$C$83^0.91*($C$74*1.1)^1.02*(1-$C$82)</f>
        <v>#N/A</v>
      </c>
      <c r="D108" s="660" t="e">
        <f>0.62*$C$99^0.91*($C$74*1.1)^1.02*(1-$C$82)</f>
        <v>#N/A</v>
      </c>
      <c r="E108" s="556"/>
    </row>
    <row r="109" spans="2:9" ht="15" hidden="1" customHeight="1" x14ac:dyDescent="0.25">
      <c r="B109" s="88" t="s">
        <v>32</v>
      </c>
      <c r="C109" s="660" t="e">
        <f>0.15*$C$83^0.91*($C$74*1.1)^1.02*(1-$C$82)</f>
        <v>#N/A</v>
      </c>
      <c r="D109" s="660" t="e">
        <f>0.15*$C$99^0.91*($C$74*1.1)^1.02*(1-$C$82)</f>
        <v>#N/A</v>
      </c>
      <c r="E109" s="556"/>
    </row>
    <row r="110" spans="2:9" ht="15" hidden="1" customHeight="1" x14ac:dyDescent="0.25">
      <c r="B110" s="101"/>
      <c r="C110" s="661"/>
      <c r="D110" s="661"/>
      <c r="E110" s="527"/>
      <c r="F110" s="527"/>
    </row>
    <row r="111" spans="2:9" ht="15" hidden="1" customHeight="1" x14ac:dyDescent="0.25">
      <c r="B111" s="76" t="s">
        <v>368</v>
      </c>
      <c r="C111" s="661"/>
      <c r="D111" s="662" t="s">
        <v>23</v>
      </c>
      <c r="E111" s="76" t="s">
        <v>369</v>
      </c>
      <c r="F111" s="527"/>
      <c r="G111" s="101" t="s">
        <v>23</v>
      </c>
    </row>
    <row r="112" spans="2:9" ht="15" hidden="1" customHeight="1" x14ac:dyDescent="0.25">
      <c r="B112" s="101" t="s">
        <v>26</v>
      </c>
      <c r="C112" s="554">
        <f>IFERROR(($C$77*$C$79*C103+$C$77*(1-$C$79)*D103)/10^6,0)</f>
        <v>0</v>
      </c>
      <c r="D112" s="55" t="e">
        <f>C112/$C$112</f>
        <v>#DIV/0!</v>
      </c>
      <c r="E112" s="101" t="s">
        <v>26</v>
      </c>
      <c r="F112" s="528">
        <f>IFERROR((C107*$C$78*$C$76+(1-$C$78)*$C$76*D107)/10^6,0)</f>
        <v>0</v>
      </c>
      <c r="G112" s="55" t="e">
        <f>F112/$F$112</f>
        <v>#DIV/0!</v>
      </c>
    </row>
    <row r="113" spans="2:9" ht="16.5" hidden="1" customHeight="1" x14ac:dyDescent="0.25">
      <c r="B113" s="101" t="s">
        <v>30</v>
      </c>
      <c r="C113" s="554">
        <f t="shared" ref="C113:C114" si="0">IFERROR(($C$77*$C$79*C104+$C$77*(1-$C$79)*D104)/10^6,0)</f>
        <v>0</v>
      </c>
      <c r="D113" s="55" t="e">
        <f>C113/$C$112</f>
        <v>#DIV/0!</v>
      </c>
      <c r="E113" s="101" t="s">
        <v>30</v>
      </c>
      <c r="F113" s="528">
        <f>IFERROR((C108*$C$78*$C$76+(1-$C$78)*$C$76*D108)/10^6,0)</f>
        <v>0</v>
      </c>
      <c r="G113" s="55" t="e">
        <f>F113/$F$112</f>
        <v>#DIV/0!</v>
      </c>
    </row>
    <row r="114" spans="2:9" ht="16.5" hidden="1" customHeight="1" x14ac:dyDescent="0.25">
      <c r="B114" s="111" t="s">
        <v>32</v>
      </c>
      <c r="C114" s="554">
        <f t="shared" si="0"/>
        <v>0</v>
      </c>
      <c r="D114" s="55" t="e">
        <f>C114/$C$112</f>
        <v>#DIV/0!</v>
      </c>
      <c r="E114" s="101" t="s">
        <v>32</v>
      </c>
      <c r="F114" s="528">
        <f>IFERROR((C109*$C$78*$C$76+(1-$C$78)*$C$76*D109)/10^6,0)</f>
        <v>0</v>
      </c>
      <c r="G114" s="55" t="e">
        <f>F114/$F$112</f>
        <v>#DIV/0!</v>
      </c>
    </row>
    <row r="115" spans="2:9" ht="16.5" hidden="1" customHeight="1" x14ac:dyDescent="0.25">
      <c r="B115" s="76" t="s">
        <v>374</v>
      </c>
      <c r="C115" s="131"/>
      <c r="D115" s="111"/>
      <c r="E115" s="76" t="s">
        <v>546</v>
      </c>
      <c r="F115" s="529"/>
      <c r="G115" s="112"/>
    </row>
    <row r="116" spans="2:9" ht="16.5" hidden="1" customHeight="1" x14ac:dyDescent="0.25">
      <c r="B116" s="101" t="s">
        <v>26</v>
      </c>
      <c r="C116" s="554">
        <f>IFERROR($C$77*D103/10^6,0)</f>
        <v>0</v>
      </c>
      <c r="D116" s="111"/>
      <c r="E116" s="101" t="s">
        <v>26</v>
      </c>
      <c r="F116" s="528">
        <f>IFERROR($C$76*D107/1000000,0)</f>
        <v>0</v>
      </c>
      <c r="G116" s="112"/>
    </row>
    <row r="117" spans="2:9" ht="16.5" hidden="1" customHeight="1" x14ac:dyDescent="0.25">
      <c r="B117" s="101" t="s">
        <v>30</v>
      </c>
      <c r="C117" s="554">
        <f t="shared" ref="C117:C118" si="1">IFERROR($C$77*D104/10^6,0)</f>
        <v>0</v>
      </c>
      <c r="D117" s="111"/>
      <c r="E117" s="101" t="s">
        <v>30</v>
      </c>
      <c r="F117" s="528">
        <f>IFERROR($C$76*D108/1000000,0)</f>
        <v>0</v>
      </c>
      <c r="G117" s="112"/>
    </row>
    <row r="118" spans="2:9" ht="16.5" hidden="1" customHeight="1" x14ac:dyDescent="0.25">
      <c r="B118" s="111" t="s">
        <v>32</v>
      </c>
      <c r="C118" s="554">
        <f t="shared" si="1"/>
        <v>0</v>
      </c>
      <c r="D118" s="111"/>
      <c r="E118" s="101" t="s">
        <v>32</v>
      </c>
      <c r="F118" s="528">
        <f>IFERROR($C$76*D109/1000000,0)</f>
        <v>0</v>
      </c>
      <c r="G118" s="112"/>
    </row>
    <row r="119" spans="2:9" ht="16.5" hidden="1" customHeight="1" x14ac:dyDescent="0.25">
      <c r="B119" s="111"/>
      <c r="C119" s="111"/>
      <c r="D119" s="111"/>
      <c r="E119" s="101"/>
      <c r="F119" s="529"/>
      <c r="G119" s="112"/>
    </row>
    <row r="120" spans="2:9" ht="15" hidden="1" customHeight="1" x14ac:dyDescent="0.25">
      <c r="B120" s="101"/>
      <c r="C120" s="101"/>
      <c r="D120" s="101"/>
      <c r="E120" s="101"/>
    </row>
    <row r="121" spans="2:9" ht="15" hidden="1" customHeight="1" x14ac:dyDescent="0.25">
      <c r="B121" s="102" t="s">
        <v>36</v>
      </c>
      <c r="C121" s="101"/>
      <c r="D121" s="101"/>
      <c r="E121" s="101"/>
    </row>
    <row r="122" spans="2:9" ht="15" hidden="1" customHeight="1" x14ac:dyDescent="0.25">
      <c r="B122" s="101" t="s">
        <v>26</v>
      </c>
      <c r="C122" s="75" t="e">
        <f>(C112+F112)*10^6/$E$47</f>
        <v>#DIV/0!</v>
      </c>
      <c r="D122" s="101"/>
      <c r="E122" s="101"/>
    </row>
    <row r="123" spans="2:9" ht="15" hidden="1" customHeight="1" x14ac:dyDescent="0.25">
      <c r="B123" s="101" t="s">
        <v>30</v>
      </c>
      <c r="C123" s="75" t="e">
        <f>(C113+F113)*10^6/$E$47</f>
        <v>#DIV/0!</v>
      </c>
      <c r="D123" s="101"/>
      <c r="E123" s="101"/>
    </row>
    <row r="124" spans="2:9" ht="15" hidden="1" customHeight="1" x14ac:dyDescent="0.25">
      <c r="B124" s="111" t="s">
        <v>32</v>
      </c>
      <c r="C124" s="75" t="e">
        <f>(C114+F114)*10^6/$E$47</f>
        <v>#DIV/0!</v>
      </c>
      <c r="D124" s="101"/>
      <c r="E124" s="101"/>
    </row>
    <row r="125" spans="2:9" ht="15.75" hidden="1" customHeight="1" x14ac:dyDescent="0.25">
      <c r="B125" s="68" t="s">
        <v>69</v>
      </c>
      <c r="C125" s="66"/>
      <c r="D125" s="67"/>
      <c r="E125" s="67"/>
      <c r="F125" s="59"/>
      <c r="G125" s="59"/>
      <c r="H125" s="59"/>
      <c r="I125" s="59"/>
    </row>
    <row r="126" spans="2:9" ht="30" hidden="1" customHeight="1" x14ac:dyDescent="0.25">
      <c r="B126" s="89" t="s">
        <v>60</v>
      </c>
      <c r="C126" s="659" t="s">
        <v>562</v>
      </c>
      <c r="D126" s="659" t="s">
        <v>563</v>
      </c>
    </row>
    <row r="127" spans="2:9" ht="15" hidden="1" customHeight="1" x14ac:dyDescent="0.25">
      <c r="B127" s="88" t="s">
        <v>26</v>
      </c>
      <c r="C127" s="660" t="e">
        <f>1.381*(($C$98*100/12)^0.7)*(($C$87/2.72)^0.45)*1000*( 1-$C$93)*(1-$C$94)</f>
        <v>#N/A</v>
      </c>
      <c r="D127" s="660" t="e">
        <f>1.381*(($C$98*100/12)^0.7)*(($C$87/2.72)^0.45)*1000*(1-$C$94)</f>
        <v>#N/A</v>
      </c>
    </row>
    <row r="128" spans="2:9" ht="15" hidden="1" customHeight="1" x14ac:dyDescent="0.25">
      <c r="B128" s="88" t="s">
        <v>30</v>
      </c>
      <c r="C128" s="660" t="e">
        <f>0.423*(($C$98*100/12)^0.9)*(($C$87/2.72)^0.45)*1000*( 1-$C$93)*(1-$C$94)</f>
        <v>#N/A</v>
      </c>
      <c r="D128" s="660" t="e">
        <f>0.423*(($C$98*100/12)^0.9)*(($C$87/2.72)^0.45)*1000*(1-$C$94)</f>
        <v>#N/A</v>
      </c>
    </row>
    <row r="129" spans="2:8" ht="15" hidden="1" customHeight="1" x14ac:dyDescent="0.25">
      <c r="B129" s="88" t="s">
        <v>32</v>
      </c>
      <c r="C129" s="660" t="e">
        <f>0.042*(($C$98*100/12)^0.9)*(($C$87/2.72)^0.45)*1000*( 1-$C$93)*(1-$C$94)</f>
        <v>#N/A</v>
      </c>
      <c r="D129" s="660" t="e">
        <f>0.042*(($C$98*100/12)^0.9)*(($C$87/2.72)^0.45)*1000*(1-$C$94)</f>
        <v>#N/A</v>
      </c>
    </row>
    <row r="130" spans="2:8" ht="15" hidden="1" customHeight="1" x14ac:dyDescent="0.25">
      <c r="B130" s="89" t="s">
        <v>60</v>
      </c>
      <c r="C130" s="659" t="s">
        <v>545</v>
      </c>
      <c r="D130" s="659" t="s">
        <v>544</v>
      </c>
      <c r="E130" s="101"/>
      <c r="F130" s="101"/>
    </row>
    <row r="131" spans="2:8" ht="15" hidden="1" customHeight="1" x14ac:dyDescent="0.25">
      <c r="B131" s="88" t="s">
        <v>26</v>
      </c>
      <c r="C131" s="660" t="e">
        <f>3.23*$C$96^0.91*($C$87*1.1)^1.02*(1-$C$95)</f>
        <v>#N/A</v>
      </c>
      <c r="D131" s="660" t="e">
        <f>3.23*$C$99^0.91*($C$87*1.1)^1.02*(1-$C$95)</f>
        <v>#N/A</v>
      </c>
      <c r="E131" s="101"/>
      <c r="F131" s="101"/>
    </row>
    <row r="132" spans="2:8" ht="15" hidden="1" customHeight="1" x14ac:dyDescent="0.25">
      <c r="B132" s="88" t="s">
        <v>30</v>
      </c>
      <c r="C132" s="660" t="e">
        <f>0.62*$C$96^0.91*($C$87*1.1)^1.02*(1-$C$95)</f>
        <v>#N/A</v>
      </c>
      <c r="D132" s="660" t="e">
        <f>0.62*$C$99^0.91*($C$87*1.1)^1.02*(1-$C$95)</f>
        <v>#N/A</v>
      </c>
      <c r="E132" s="101"/>
      <c r="F132" s="101"/>
    </row>
    <row r="133" spans="2:8" ht="15" hidden="1" customHeight="1" x14ac:dyDescent="0.25">
      <c r="B133" s="88" t="s">
        <v>32</v>
      </c>
      <c r="C133" s="660" t="e">
        <f>0.15*$C$96^0.91*($C$87*1.1)^1.02*(1-$C$95)</f>
        <v>#N/A</v>
      </c>
      <c r="D133" s="660" t="e">
        <f>0.15*$C$99^0.91*($C$87*1.1)^1.02*(1-$C$95)</f>
        <v>#N/A</v>
      </c>
      <c r="E133" s="101"/>
      <c r="F133" s="101"/>
    </row>
    <row r="134" spans="2:8" ht="15" hidden="1" customHeight="1" x14ac:dyDescent="0.25">
      <c r="B134" s="101"/>
      <c r="C134" s="661"/>
      <c r="D134" s="661"/>
      <c r="E134" s="101"/>
      <c r="F134" s="101"/>
    </row>
    <row r="135" spans="2:8" ht="15" hidden="1" customHeight="1" x14ac:dyDescent="0.25">
      <c r="B135" s="76" t="s">
        <v>368</v>
      </c>
      <c r="C135" s="101"/>
      <c r="D135" s="515" t="s">
        <v>23</v>
      </c>
      <c r="E135" s="76" t="s">
        <v>369</v>
      </c>
      <c r="F135" s="101"/>
      <c r="G135" s="101" t="s">
        <v>23</v>
      </c>
    </row>
    <row r="136" spans="2:8" ht="15" hidden="1" customHeight="1" x14ac:dyDescent="0.25">
      <c r="B136" s="101" t="s">
        <v>26</v>
      </c>
      <c r="C136" s="554">
        <f>IFERROR(($C$90*$C$92*C127+$C$90*(1-$C$92)*D127)/10^6,0)</f>
        <v>0</v>
      </c>
      <c r="D136" s="55" t="e">
        <f>C136/$C$136</f>
        <v>#DIV/0!</v>
      </c>
      <c r="E136" s="101" t="s">
        <v>26</v>
      </c>
      <c r="F136" s="528">
        <f>IFERROR((C131*$C$91*$C$89+(1-$C$91)*$C$89*D131)/10^6,0)</f>
        <v>0</v>
      </c>
      <c r="G136" s="55" t="e">
        <f>F136/$F$136</f>
        <v>#DIV/0!</v>
      </c>
    </row>
    <row r="137" spans="2:8" ht="15" hidden="1" customHeight="1" x14ac:dyDescent="0.25">
      <c r="B137" s="101" t="s">
        <v>30</v>
      </c>
      <c r="C137" s="554">
        <f t="shared" ref="C137:C138" si="2">IFERROR(($C$90*$C$92*C128+$C$90*(1-$C$92)*D128)/10^6,0)</f>
        <v>0</v>
      </c>
      <c r="D137" s="55" t="e">
        <f>C137/$C$136</f>
        <v>#DIV/0!</v>
      </c>
      <c r="E137" s="101" t="s">
        <v>30</v>
      </c>
      <c r="F137" s="528">
        <f>IFERROR((C132*$C$91*$C$89+(1-$C$91)*$C$89*D132)/10^6,0)</f>
        <v>0</v>
      </c>
      <c r="G137" s="55" t="e">
        <f>F137/$F$136</f>
        <v>#DIV/0!</v>
      </c>
    </row>
    <row r="138" spans="2:8" ht="15" hidden="1" customHeight="1" x14ac:dyDescent="0.25">
      <c r="B138" s="101" t="s">
        <v>32</v>
      </c>
      <c r="C138" s="554">
        <f t="shared" si="2"/>
        <v>0</v>
      </c>
      <c r="D138" s="55" t="e">
        <f>C138/$C$136</f>
        <v>#DIV/0!</v>
      </c>
      <c r="E138" s="101" t="s">
        <v>32</v>
      </c>
      <c r="F138" s="528">
        <f>IFERROR((C133*$C$91*$C$89+(1-$C$91)*$C$89*D133)/10^6,0)</f>
        <v>0</v>
      </c>
      <c r="G138" s="55" t="e">
        <f>F138/$F$136</f>
        <v>#DIV/0!</v>
      </c>
    </row>
    <row r="139" spans="2:8" ht="15" hidden="1" customHeight="1" x14ac:dyDescent="0.25">
      <c r="B139" s="76" t="s">
        <v>374</v>
      </c>
      <c r="C139" s="555"/>
      <c r="D139" s="101"/>
      <c r="E139" s="111"/>
      <c r="F139" s="529"/>
      <c r="G139" s="112"/>
      <c r="H139" s="90"/>
    </row>
    <row r="140" spans="2:8" ht="15" hidden="1" customHeight="1" x14ac:dyDescent="0.25">
      <c r="B140" s="101" t="s">
        <v>26</v>
      </c>
      <c r="C140" s="554">
        <f>IFERROR($C$90*D127/10^6,0)</f>
        <v>0</v>
      </c>
      <c r="D140" s="101"/>
      <c r="E140" s="101"/>
      <c r="F140" s="528">
        <f>IFERROR($C$89*D131/1000000,0)</f>
        <v>0</v>
      </c>
      <c r="G140" s="112"/>
    </row>
    <row r="141" spans="2:8" ht="15" hidden="1" customHeight="1" x14ac:dyDescent="0.25">
      <c r="B141" s="101" t="s">
        <v>30</v>
      </c>
      <c r="C141" s="554">
        <f t="shared" ref="C141:C142" si="3">IFERROR($C$90*D128/10^6,0)</f>
        <v>0</v>
      </c>
      <c r="D141" s="101"/>
      <c r="E141" s="101"/>
      <c r="F141" s="528">
        <f>IFERROR($C$89*D132/1000000,0)</f>
        <v>0</v>
      </c>
      <c r="G141" s="112"/>
    </row>
    <row r="142" spans="2:8" ht="15" hidden="1" customHeight="1" x14ac:dyDescent="0.25">
      <c r="B142" s="111" t="s">
        <v>32</v>
      </c>
      <c r="C142" s="554">
        <f t="shared" si="3"/>
        <v>0</v>
      </c>
      <c r="D142" s="101"/>
      <c r="E142" s="101"/>
      <c r="F142" s="528">
        <f>IFERROR($C$89*D133/1000000,0)</f>
        <v>0</v>
      </c>
      <c r="G142" s="112"/>
    </row>
    <row r="143" spans="2:8" ht="15" hidden="1" customHeight="1" x14ac:dyDescent="0.25">
      <c r="B143" s="101"/>
      <c r="C143" s="101"/>
      <c r="D143" s="101"/>
      <c r="E143" s="101"/>
      <c r="F143" s="132"/>
      <c r="G143" s="112"/>
    </row>
    <row r="144" spans="2:8" ht="15.75" hidden="1" customHeight="1" x14ac:dyDescent="0.25">
      <c r="B144" s="111"/>
      <c r="C144" s="131"/>
      <c r="D144" s="112"/>
      <c r="E144" s="111"/>
      <c r="F144" s="132"/>
      <c r="G144" s="112"/>
      <c r="H144" s="90"/>
    </row>
    <row r="145" spans="2:9" s="90" customFormat="1" ht="15.75" hidden="1" customHeight="1" x14ac:dyDescent="0.25">
      <c r="B145" s="68" t="s">
        <v>355</v>
      </c>
      <c r="C145" s="66"/>
      <c r="D145" s="67"/>
      <c r="E145" s="67"/>
      <c r="F145" s="59"/>
      <c r="G145" s="59"/>
      <c r="H145" s="59"/>
      <c r="I145" s="59"/>
    </row>
    <row r="146" spans="2:9" s="90" customFormat="1" ht="15" hidden="1" customHeight="1" x14ac:dyDescent="0.25">
      <c r="B146" s="76" t="s">
        <v>370</v>
      </c>
      <c r="C146" s="101"/>
      <c r="D146" s="101" t="s">
        <v>23</v>
      </c>
      <c r="E146" s="77"/>
      <c r="F146" s="111"/>
    </row>
    <row r="147" spans="2:9" s="90" customFormat="1" ht="15" hidden="1" customHeight="1" x14ac:dyDescent="0.25">
      <c r="B147" s="101" t="s">
        <v>26</v>
      </c>
      <c r="C147" s="54">
        <f>SUM(C112,F112,F136,C136)</f>
        <v>0</v>
      </c>
      <c r="D147" s="55" t="e">
        <f>C147/$C$147</f>
        <v>#DIV/0!</v>
      </c>
      <c r="E147" s="77"/>
      <c r="F147" s="111"/>
    </row>
    <row r="148" spans="2:9" s="90" customFormat="1" ht="15" hidden="1" customHeight="1" x14ac:dyDescent="0.25">
      <c r="B148" s="101" t="s">
        <v>30</v>
      </c>
      <c r="C148" s="54">
        <f>IF(ISERROR(SUM(C113,F113,F137,C137)),0,(SUM(C113,F113,F137,C137)))</f>
        <v>0</v>
      </c>
      <c r="D148" s="55" t="e">
        <f>C148/$C$147</f>
        <v>#DIV/0!</v>
      </c>
      <c r="E148" s="77"/>
      <c r="F148" s="111"/>
    </row>
    <row r="149" spans="2:9" s="90" customFormat="1" ht="15" hidden="1" customHeight="1" x14ac:dyDescent="0.25">
      <c r="B149" s="101" t="s">
        <v>32</v>
      </c>
      <c r="C149" s="54">
        <f>IF(ISERROR(SUM(C114,F114,F138,C138)),0,(SUM(C114,F114,F138,C138)))</f>
        <v>0</v>
      </c>
      <c r="D149" s="55" t="e">
        <f>C149/$C$147</f>
        <v>#DIV/0!</v>
      </c>
      <c r="E149" s="111"/>
      <c r="F149" s="111"/>
    </row>
    <row r="150" spans="2:9" s="90" customFormat="1" ht="15" hidden="1" customHeight="1" x14ac:dyDescent="0.25">
      <c r="B150" s="76" t="s">
        <v>374</v>
      </c>
      <c r="C150" s="131"/>
      <c r="D150" s="101"/>
      <c r="E150" s="111"/>
      <c r="F150" s="111"/>
    </row>
    <row r="151" spans="2:9" s="90" customFormat="1" ht="15" hidden="1" customHeight="1" x14ac:dyDescent="0.25">
      <c r="B151" s="101" t="s">
        <v>26</v>
      </c>
      <c r="C151" s="54">
        <f>SUM(C116,F116,F140,C140)</f>
        <v>0</v>
      </c>
      <c r="D151" s="101"/>
      <c r="E151" s="111"/>
      <c r="F151" s="111"/>
    </row>
    <row r="152" spans="2:9" s="90" customFormat="1" ht="15" hidden="1" customHeight="1" x14ac:dyDescent="0.25">
      <c r="B152" s="101" t="s">
        <v>30</v>
      </c>
      <c r="C152" s="54">
        <f>SUM(C117,F117,F141,C141)</f>
        <v>0</v>
      </c>
      <c r="D152" s="101"/>
      <c r="E152" s="111"/>
      <c r="F152" s="111"/>
    </row>
    <row r="153" spans="2:9" s="90" customFormat="1" ht="15" hidden="1" customHeight="1" x14ac:dyDescent="0.25">
      <c r="B153" s="111" t="s">
        <v>32</v>
      </c>
      <c r="C153" s="54">
        <f>SUM(C118,F118,F142,C142)</f>
        <v>0</v>
      </c>
      <c r="D153" s="101"/>
      <c r="E153" s="111"/>
      <c r="F153" s="111"/>
    </row>
    <row r="154" spans="2:9" s="90" customFormat="1" ht="15" hidden="1" customHeight="1" x14ac:dyDescent="0.25">
      <c r="B154" s="101"/>
      <c r="C154" s="101"/>
      <c r="D154" s="101"/>
      <c r="E154" s="111"/>
      <c r="F154" s="111"/>
    </row>
    <row r="155" spans="2:9" ht="15" hidden="1" customHeight="1" x14ac:dyDescent="0.25">
      <c r="B155" s="76" t="s">
        <v>36</v>
      </c>
      <c r="C155" s="101"/>
      <c r="D155" s="101"/>
      <c r="E155" s="101"/>
      <c r="F155" s="101"/>
    </row>
    <row r="156" spans="2:9" ht="15" hidden="1" customHeight="1" x14ac:dyDescent="0.25">
      <c r="B156" s="101" t="s">
        <v>26</v>
      </c>
      <c r="C156" s="274" t="e">
        <f>(C147*10^6/SUM($E$55:$E$58))</f>
        <v>#DIV/0!</v>
      </c>
      <c r="D156" s="101"/>
      <c r="E156" s="101"/>
      <c r="F156" s="101"/>
    </row>
    <row r="157" spans="2:9" ht="15" hidden="1" customHeight="1" x14ac:dyDescent="0.25">
      <c r="B157" s="101" t="s">
        <v>30</v>
      </c>
      <c r="C157" s="274" t="e">
        <f t="shared" ref="C157:C158" si="4">(C148*10^6/SUM($E$55:$E$58))</f>
        <v>#DIV/0!</v>
      </c>
      <c r="D157" s="101"/>
      <c r="E157" s="101"/>
      <c r="F157" s="101"/>
    </row>
    <row r="158" spans="2:9" ht="15.75" hidden="1" customHeight="1" x14ac:dyDescent="0.25">
      <c r="B158" s="101" t="s">
        <v>32</v>
      </c>
      <c r="C158" s="274" t="e">
        <f t="shared" si="4"/>
        <v>#DIV/0!</v>
      </c>
      <c r="D158" s="101"/>
      <c r="E158" s="101"/>
      <c r="F158" s="101"/>
    </row>
    <row r="159" spans="2:9" ht="15.75" hidden="1" customHeight="1" x14ac:dyDescent="0.25"/>
    <row r="160" spans="2:9" ht="15" hidden="1" customHeight="1" x14ac:dyDescent="0.25"/>
    <row r="161" spans="2:4" ht="15" hidden="1" customHeight="1" x14ac:dyDescent="0.25">
      <c r="B161" s="513" t="s">
        <v>525</v>
      </c>
      <c r="C161" s="452" t="s">
        <v>362</v>
      </c>
      <c r="D161" s="452" t="s">
        <v>455</v>
      </c>
    </row>
    <row r="162" spans="2:4" ht="15.75" hidden="1" x14ac:dyDescent="0.25">
      <c r="B162" s="456" t="s">
        <v>450</v>
      </c>
      <c r="C162" s="453">
        <v>0</v>
      </c>
      <c r="D162" s="452" t="s">
        <v>453</v>
      </c>
    </row>
    <row r="163" spans="2:4" ht="15.75" hidden="1" x14ac:dyDescent="0.25">
      <c r="B163" s="456" t="s">
        <v>451</v>
      </c>
      <c r="C163" s="453">
        <v>0.55000000000000004</v>
      </c>
      <c r="D163" s="452" t="s">
        <v>453</v>
      </c>
    </row>
    <row r="164" spans="2:4" ht="15.75" hidden="1" x14ac:dyDescent="0.25">
      <c r="B164" s="456" t="s">
        <v>449</v>
      </c>
      <c r="C164" s="453">
        <v>0.7</v>
      </c>
      <c r="D164" s="452" t="s">
        <v>453</v>
      </c>
    </row>
    <row r="165" spans="2:4" ht="15.75" hidden="1" x14ac:dyDescent="0.25">
      <c r="B165" s="456" t="s">
        <v>452</v>
      </c>
      <c r="C165" s="453">
        <v>0.9</v>
      </c>
      <c r="D165" s="452" t="s">
        <v>454</v>
      </c>
    </row>
    <row r="166" spans="2:4" hidden="1" x14ac:dyDescent="0.25"/>
    <row r="167" spans="2:4" hidden="1" x14ac:dyDescent="0.25">
      <c r="C167" s="717" t="s">
        <v>594</v>
      </c>
      <c r="D167" s="717" t="s">
        <v>539</v>
      </c>
    </row>
    <row r="168" spans="2:4" ht="15.75" hidden="1" x14ac:dyDescent="0.25">
      <c r="B168" s="513" t="s">
        <v>538</v>
      </c>
      <c r="C168" s="517" t="s">
        <v>600</v>
      </c>
      <c r="D168" s="517" t="s">
        <v>600</v>
      </c>
    </row>
    <row r="169" spans="2:4" ht="15.75" hidden="1" x14ac:dyDescent="0.25">
      <c r="B169" s="456" t="s">
        <v>524</v>
      </c>
      <c r="C169" s="718">
        <v>8.1999999999999993</v>
      </c>
      <c r="D169" s="525">
        <v>60</v>
      </c>
    </row>
    <row r="170" spans="2:4" ht="15.75" hidden="1" x14ac:dyDescent="0.25">
      <c r="B170" s="456" t="s">
        <v>532</v>
      </c>
      <c r="C170" s="716">
        <v>2.4</v>
      </c>
      <c r="D170" s="526">
        <v>5</v>
      </c>
    </row>
    <row r="171" spans="2:4" ht="15.75" hidden="1" x14ac:dyDescent="0.25">
      <c r="B171" s="456" t="s">
        <v>533</v>
      </c>
      <c r="C171" s="716">
        <f>D171/D169*C169</f>
        <v>0.13666666666666666</v>
      </c>
      <c r="D171" s="526">
        <v>1</v>
      </c>
    </row>
    <row r="172" spans="2:4" ht="15.75" hidden="1" x14ac:dyDescent="0.25">
      <c r="B172" s="139"/>
      <c r="C172" s="139"/>
      <c r="D172" s="139"/>
    </row>
    <row r="173" spans="2:4" hidden="1" x14ac:dyDescent="0.25"/>
    <row r="277" spans="2:2" hidden="1" x14ac:dyDescent="0.25"/>
    <row r="278" spans="2:2" ht="15.75" hidden="1" x14ac:dyDescent="0.25">
      <c r="B278" s="79" t="s">
        <v>74</v>
      </c>
    </row>
    <row r="279" spans="2:2" ht="15.75" hidden="1" x14ac:dyDescent="0.25">
      <c r="B279" s="80" t="s">
        <v>75</v>
      </c>
    </row>
    <row r="280" spans="2:2" ht="15.75" hidden="1" x14ac:dyDescent="0.25">
      <c r="B280" s="80" t="s">
        <v>140</v>
      </c>
    </row>
    <row r="281" spans="2:2" ht="15.75" hidden="1" x14ac:dyDescent="0.25">
      <c r="B281" s="80" t="s">
        <v>77</v>
      </c>
    </row>
    <row r="282" spans="2:2" ht="15.75" hidden="1" x14ac:dyDescent="0.25">
      <c r="B282" s="80" t="s">
        <v>84</v>
      </c>
    </row>
    <row r="283" spans="2:2" ht="15.75" hidden="1" x14ac:dyDescent="0.25">
      <c r="B283" s="80" t="s">
        <v>78</v>
      </c>
    </row>
    <row r="284" spans="2:2" ht="15.75" hidden="1" x14ac:dyDescent="0.25">
      <c r="B284" s="80" t="s">
        <v>79</v>
      </c>
    </row>
    <row r="285" spans="2:2" ht="15.75" hidden="1" x14ac:dyDescent="0.25">
      <c r="B285" s="80" t="s">
        <v>80</v>
      </c>
    </row>
    <row r="286" spans="2:2" ht="15.75" hidden="1" x14ac:dyDescent="0.25">
      <c r="B286" s="81" t="s">
        <v>85</v>
      </c>
    </row>
    <row r="287" spans="2:2" hidden="1" x14ac:dyDescent="0.25"/>
    <row r="288" spans="2:2" hidden="1" x14ac:dyDescent="0.25">
      <c r="B288" s="88" t="s">
        <v>65</v>
      </c>
    </row>
    <row r="289" spans="2:2" hidden="1" x14ac:dyDescent="0.25">
      <c r="B289" s="88" t="s">
        <v>64</v>
      </c>
    </row>
    <row r="290" spans="2:2" hidden="1" x14ac:dyDescent="0.25"/>
  </sheetData>
  <sheetProtection algorithmName="SHA-512" hashValue="jad0izxu149RjVJGcyCcuLPooHOGH86/g0Q2tKNU7tAr+09n3KRllZxieY0eeRpRjkuZDe+Cx3ZJ2tZY8uYISg==" saltValue="ffXwD6QGerP7cOF9sqS1aA==" spinCount="100000" sheet="1" selectLockedCells="1"/>
  <mergeCells count="43">
    <mergeCell ref="B44:C44"/>
    <mergeCell ref="B54:C54"/>
    <mergeCell ref="B53:C53"/>
    <mergeCell ref="B57:C57"/>
    <mergeCell ref="B45:C45"/>
    <mergeCell ref="B46:C46"/>
    <mergeCell ref="B50:C50"/>
    <mergeCell ref="B47:C47"/>
    <mergeCell ref="B48:C48"/>
    <mergeCell ref="B49:C49"/>
    <mergeCell ref="B55:C55"/>
    <mergeCell ref="B56:C56"/>
    <mergeCell ref="B51:C51"/>
    <mergeCell ref="B52:C52"/>
    <mergeCell ref="B68:C68"/>
    <mergeCell ref="B67:C67"/>
    <mergeCell ref="B66:C66"/>
    <mergeCell ref="B65:C65"/>
    <mergeCell ref="B58:C58"/>
    <mergeCell ref="B59:C59"/>
    <mergeCell ref="B60:C60"/>
    <mergeCell ref="B63:C63"/>
    <mergeCell ref="B64:C64"/>
    <mergeCell ref="B61:C61"/>
    <mergeCell ref="B62:C62"/>
    <mergeCell ref="B5:C5"/>
    <mergeCell ref="B6:C6"/>
    <mergeCell ref="B7:C7"/>
    <mergeCell ref="B13:C13"/>
    <mergeCell ref="B14:C14"/>
    <mergeCell ref="B12:C12"/>
    <mergeCell ref="B8:C8"/>
    <mergeCell ref="B9:C9"/>
    <mergeCell ref="B11:C11"/>
    <mergeCell ref="B10:C10"/>
    <mergeCell ref="B32:B33"/>
    <mergeCell ref="C32:C33"/>
    <mergeCell ref="B40:D40"/>
    <mergeCell ref="H16:J16"/>
    <mergeCell ref="H17:J17"/>
    <mergeCell ref="H18:J18"/>
    <mergeCell ref="B21:D21"/>
    <mergeCell ref="B30:D30"/>
  </mergeCells>
  <conditionalFormatting sqref="E51:E52">
    <cfRule type="expression" dxfId="5" priority="1">
      <formula>E51=0</formula>
    </cfRule>
  </conditionalFormatting>
  <conditionalFormatting sqref="E61:E62">
    <cfRule type="expression" dxfId="4" priority="2">
      <formula>E61=0</formula>
    </cfRule>
  </conditionalFormatting>
  <dataValidations count="7">
    <dataValidation type="decimal" allowBlank="1" showInputMessage="1" showErrorMessage="1" error="Ce champ n'accepte qu'une valeur numérique" sqref="E65:E66 E55:E59 E46:E52" xr:uid="{00000000-0002-0000-0500-000000000000}">
      <formula1>0</formula1>
      <formula2>10000000000000</formula2>
    </dataValidation>
    <dataValidation allowBlank="1" showInputMessage="1" showErrorMessage="1" error="Ce champ n'accepte qu'une valeur numérique" sqref="E67" xr:uid="{00000000-0002-0000-0500-000001000000}"/>
    <dataValidation type="decimal" allowBlank="1" showInputMessage="1" showErrorMessage="1" error="Ce champ n'accepte qu'une valeur numérique" sqref="E68" xr:uid="{00000000-0002-0000-0500-000002000000}">
      <formula1>0</formula1>
      <formula2>10000000000000000000</formula2>
    </dataValidation>
    <dataValidation allowBlank="1" showInputMessage="1" showErrorMessage="1" error="Ce champ n'accepte que des valeurs entre 0 et 100_x000a_" sqref="E54" xr:uid="{00000000-0002-0000-0500-000003000000}"/>
    <dataValidation type="decimal" allowBlank="1" showInputMessage="1" showErrorMessage="1" error="Ce champ n'accepte qu'une valeur numérique" sqref="E53" xr:uid="{00000000-0002-0000-0500-000004000000}">
      <formula1>0</formula1>
      <formula2>100000000000000000</formula2>
    </dataValidation>
    <dataValidation type="decimal" allowBlank="1" showInputMessage="1" showErrorMessage="1" error="Ce champ n'accepte que des valeurs entre 0 et 100_x000a_" sqref="E60:E64" xr:uid="{00000000-0002-0000-0500-000005000000}">
      <formula1>0</formula1>
      <formula2>100</formula2>
    </dataValidation>
    <dataValidation allowBlank="1" showInputMessage="1" showErrorMessage="1" error="Seule une valeur contenue dans le menu déroulant est acceptée dans ce champ" sqref="E45" xr:uid="{00000000-0002-0000-0500-000006000000}"/>
  </dataValidations>
  <printOptions horizontalCentered="1" verticalCentered="1"/>
  <pageMargins left="0.70866141732283472" right="0.70866141732283472" top="0.74803149606299213" bottom="0.74803149606299213" header="0.31496062992125984" footer="0.31496062992125984"/>
  <pageSetup paperSize="9" scale="22"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Q311"/>
  <sheetViews>
    <sheetView showGridLines="0" zoomScale="70" zoomScaleNormal="70" workbookViewId="0">
      <selection activeCell="G311" sqref="A81:XFD311"/>
    </sheetView>
  </sheetViews>
  <sheetFormatPr baseColWidth="10" defaultColWidth="11.42578125" defaultRowHeight="15" x14ac:dyDescent="0.25"/>
  <cols>
    <col min="1" max="1" width="5.5703125" style="88" customWidth="1"/>
    <col min="2" max="2" width="98.5703125" style="88" customWidth="1"/>
    <col min="3" max="7" width="41.42578125" style="88" customWidth="1"/>
    <col min="8" max="8" width="29.42578125" style="88" customWidth="1"/>
    <col min="9" max="13" width="40" style="88" customWidth="1"/>
    <col min="14" max="14" width="26.28515625" style="88" bestFit="1" customWidth="1"/>
    <col min="15" max="15" width="21.85546875" style="88" bestFit="1" customWidth="1"/>
    <col min="16" max="16" width="13.85546875" style="88" bestFit="1" customWidth="1"/>
    <col min="17" max="17" width="21.28515625" style="88" bestFit="1" customWidth="1"/>
    <col min="18" max="16384" width="11.42578125" style="88"/>
  </cols>
  <sheetData>
    <row r="1" spans="1:9" ht="113.25" customHeight="1" x14ac:dyDescent="0.25"/>
    <row r="2" spans="1:9" s="82" customFormat="1" ht="24" customHeight="1" x14ac:dyDescent="0.25">
      <c r="A2" s="88"/>
      <c r="B2" s="2" t="s">
        <v>509</v>
      </c>
      <c r="C2"/>
      <c r="H2" s="135"/>
      <c r="I2" s="135"/>
    </row>
    <row r="3" spans="1:9" s="82" customFormat="1" ht="18" x14ac:dyDescent="0.25">
      <c r="A3" s="88"/>
      <c r="B3" s="2"/>
      <c r="C3" s="3"/>
      <c r="H3" s="135"/>
      <c r="I3" s="135"/>
    </row>
    <row r="4" spans="1:9" s="82" customFormat="1" ht="20.25" customHeight="1" x14ac:dyDescent="0.25">
      <c r="A4" s="88"/>
      <c r="B4" s="769" t="s">
        <v>74</v>
      </c>
      <c r="C4" s="769" t="s">
        <v>39</v>
      </c>
      <c r="D4" s="72" t="s">
        <v>39</v>
      </c>
      <c r="H4" s="134"/>
      <c r="I4" s="135"/>
    </row>
    <row r="5" spans="1:9" s="82" customFormat="1" ht="20.25" customHeight="1" x14ac:dyDescent="0.25">
      <c r="A5" s="88"/>
      <c r="B5" s="767" t="s">
        <v>75</v>
      </c>
      <c r="C5" s="767" t="s">
        <v>39</v>
      </c>
      <c r="D5" s="73" t="s">
        <v>39</v>
      </c>
      <c r="H5" s="111"/>
      <c r="I5" s="111"/>
    </row>
    <row r="6" spans="1:9" s="82" customFormat="1" ht="20.25" customHeight="1" x14ac:dyDescent="0.25">
      <c r="A6" s="88"/>
      <c r="B6" s="767" t="s">
        <v>299</v>
      </c>
      <c r="C6" s="767"/>
      <c r="D6" s="73" t="s">
        <v>39</v>
      </c>
      <c r="H6" s="111"/>
      <c r="I6" s="111"/>
    </row>
    <row r="7" spans="1:9" s="82" customFormat="1" ht="20.25" customHeight="1" x14ac:dyDescent="0.25">
      <c r="A7" s="88"/>
      <c r="B7" s="767" t="s">
        <v>140</v>
      </c>
      <c r="C7" s="767" t="s">
        <v>39</v>
      </c>
      <c r="D7" s="73" t="s">
        <v>39</v>
      </c>
    </row>
    <row r="8" spans="1:9" s="82" customFormat="1" ht="20.25" customHeight="1" x14ac:dyDescent="0.25">
      <c r="A8" s="88"/>
      <c r="B8" s="767" t="s">
        <v>77</v>
      </c>
      <c r="C8" s="767" t="s">
        <v>39</v>
      </c>
      <c r="D8" s="73" t="s">
        <v>39</v>
      </c>
    </row>
    <row r="9" spans="1:9" s="82" customFormat="1" ht="20.25" customHeight="1" x14ac:dyDescent="0.25">
      <c r="A9" s="88"/>
      <c r="B9" s="767" t="s">
        <v>84</v>
      </c>
      <c r="C9" s="767" t="s">
        <v>39</v>
      </c>
      <c r="D9" s="73"/>
    </row>
    <row r="10" spans="1:9" s="82" customFormat="1" ht="20.25" customHeight="1" x14ac:dyDescent="0.25">
      <c r="A10" s="88"/>
      <c r="B10" s="767" t="s">
        <v>78</v>
      </c>
      <c r="C10" s="767" t="s">
        <v>39</v>
      </c>
      <c r="D10" s="73" t="s">
        <v>39</v>
      </c>
    </row>
    <row r="11" spans="1:9" s="82" customFormat="1" ht="20.25" customHeight="1" x14ac:dyDescent="0.25">
      <c r="A11" s="88"/>
      <c r="B11" s="767" t="s">
        <v>79</v>
      </c>
      <c r="C11" s="767" t="s">
        <v>39</v>
      </c>
      <c r="D11" s="73" t="s">
        <v>39</v>
      </c>
    </row>
    <row r="12" spans="1:9" s="82" customFormat="1" ht="20.25" customHeight="1" x14ac:dyDescent="0.25">
      <c r="A12" s="88"/>
      <c r="B12" s="767" t="s">
        <v>80</v>
      </c>
      <c r="C12" s="767" t="s">
        <v>39</v>
      </c>
      <c r="D12" s="73" t="s">
        <v>39</v>
      </c>
    </row>
    <row r="13" spans="1:9" s="82" customFormat="1" ht="20.25" customHeight="1" x14ac:dyDescent="0.25">
      <c r="A13" s="88"/>
      <c r="B13" s="768" t="s">
        <v>85</v>
      </c>
      <c r="C13" s="768" t="s">
        <v>39</v>
      </c>
      <c r="D13" s="74"/>
      <c r="G13" s="947"/>
    </row>
    <row r="14" spans="1:9" s="86" customFormat="1" ht="15.75" x14ac:dyDescent="0.25">
      <c r="A14" s="90"/>
      <c r="B14" s="84"/>
      <c r="C14" s="84"/>
      <c r="D14" s="83"/>
      <c r="E14" s="87"/>
      <c r="G14" s="947"/>
    </row>
    <row r="15" spans="1:9" s="82" customFormat="1" ht="64.5" customHeight="1" x14ac:dyDescent="0.25">
      <c r="A15" s="88"/>
      <c r="B15" s="17" t="s">
        <v>47</v>
      </c>
      <c r="C15" s="414" t="s">
        <v>376</v>
      </c>
      <c r="D15" s="414" t="s">
        <v>377</v>
      </c>
      <c r="E15" s="414" t="s">
        <v>378</v>
      </c>
      <c r="G15" s="948" t="s">
        <v>382</v>
      </c>
      <c r="H15" s="949"/>
      <c r="I15" s="90"/>
    </row>
    <row r="16" spans="1:9" s="85" customFormat="1" ht="22.5" customHeight="1" x14ac:dyDescent="0.25">
      <c r="A16" s="88"/>
      <c r="B16" s="56" t="s">
        <v>15</v>
      </c>
      <c r="C16" s="118">
        <f>IFERROR(C125,0)</f>
        <v>0</v>
      </c>
      <c r="D16" s="57">
        <f>C16*1000</f>
        <v>0</v>
      </c>
      <c r="E16" s="728">
        <f>IFERROR(F125,0)</f>
        <v>0</v>
      </c>
      <c r="H16" s="90"/>
      <c r="I16" s="90"/>
    </row>
    <row r="17" spans="1:9" s="85" customFormat="1" ht="22.5" customHeight="1" x14ac:dyDescent="0.25">
      <c r="A17" s="88"/>
      <c r="B17" s="16" t="s">
        <v>63</v>
      </c>
      <c r="C17" s="19">
        <f>IFERROR(C126,0)</f>
        <v>0</v>
      </c>
      <c r="D17" s="58">
        <f>C17*1000</f>
        <v>0</v>
      </c>
      <c r="E17" s="729">
        <f>IFERROR(F126,0)</f>
        <v>0</v>
      </c>
      <c r="H17" s="90"/>
      <c r="I17" s="90"/>
    </row>
    <row r="18" spans="1:9" x14ac:dyDescent="0.25">
      <c r="B18" s="49"/>
      <c r="C18" s="48"/>
      <c r="D18" s="3"/>
      <c r="I18" s="90"/>
    </row>
    <row r="19" spans="1:9" x14ac:dyDescent="0.25">
      <c r="B19" s="49"/>
      <c r="C19" s="48"/>
      <c r="D19" s="3"/>
      <c r="I19" s="90"/>
    </row>
    <row r="20" spans="1:9" ht="47.25" customHeight="1" x14ac:dyDescent="0.25">
      <c r="B20" s="415" t="s">
        <v>47</v>
      </c>
      <c r="C20" s="414" t="s">
        <v>380</v>
      </c>
      <c r="D20" s="414" t="s">
        <v>379</v>
      </c>
      <c r="E20" s="414" t="s">
        <v>381</v>
      </c>
      <c r="G20" s="927" t="s">
        <v>389</v>
      </c>
      <c r="H20" s="928"/>
      <c r="I20" s="90"/>
    </row>
    <row r="21" spans="1:9" ht="22.5" customHeight="1" x14ac:dyDescent="0.25">
      <c r="B21" s="56" t="s">
        <v>15</v>
      </c>
      <c r="C21" s="118">
        <f>IFERROR(I295,0)</f>
        <v>0</v>
      </c>
      <c r="D21" s="57">
        <f>C21*1000</f>
        <v>0</v>
      </c>
      <c r="E21" s="57" t="str">
        <f>IFERROR(L295,0)</f>
        <v>-</v>
      </c>
      <c r="G21" s="840">
        <f>IFERROR((I302-I295)*1000,0)</f>
        <v>0</v>
      </c>
      <c r="H21" s="860"/>
      <c r="I21" s="90"/>
    </row>
    <row r="22" spans="1:9" ht="22.5" customHeight="1" x14ac:dyDescent="0.25">
      <c r="B22" s="16" t="s">
        <v>63</v>
      </c>
      <c r="C22" s="19">
        <f>IFERROR(I296,0)</f>
        <v>0</v>
      </c>
      <c r="D22" s="58">
        <f>C22*1000</f>
        <v>0</v>
      </c>
      <c r="E22" s="58" t="str">
        <f>IFERROR(L296,0)</f>
        <v>-</v>
      </c>
      <c r="G22" s="858">
        <f>IFERROR((I303-I296)*1000,0)</f>
        <v>0</v>
      </c>
      <c r="H22" s="861"/>
      <c r="I22" s="90"/>
    </row>
    <row r="23" spans="1:9" x14ac:dyDescent="0.25">
      <c r="B23" s="49"/>
      <c r="C23" s="48"/>
      <c r="D23" s="3"/>
    </row>
    <row r="24" spans="1:9" x14ac:dyDescent="0.25">
      <c r="B24" s="49"/>
      <c r="C24" s="48"/>
      <c r="D24" s="3"/>
    </row>
    <row r="25" spans="1:9" x14ac:dyDescent="0.25">
      <c r="B25" s="49"/>
      <c r="C25" s="48"/>
      <c r="D25" s="3"/>
    </row>
    <row r="26" spans="1:9" ht="18" x14ac:dyDescent="0.25">
      <c r="B26" s="166" t="s">
        <v>154</v>
      </c>
      <c r="C26" s="48"/>
      <c r="D26" s="3"/>
    </row>
    <row r="27" spans="1:9" ht="25.5" customHeight="1" x14ac:dyDescent="0.25">
      <c r="B27" s="170" t="s">
        <v>375</v>
      </c>
      <c r="C27" s="170"/>
      <c r="D27" s="170"/>
    </row>
    <row r="28" spans="1:9" x14ac:dyDescent="0.25">
      <c r="B28" s="170" t="s">
        <v>155</v>
      </c>
      <c r="C28" s="48"/>
      <c r="D28" s="3"/>
    </row>
    <row r="29" spans="1:9" x14ac:dyDescent="0.25">
      <c r="B29" s="423" t="s">
        <v>408</v>
      </c>
      <c r="C29" s="48"/>
      <c r="D29" s="3"/>
    </row>
    <row r="30" spans="1:9" x14ac:dyDescent="0.25">
      <c r="C30" s="48"/>
      <c r="D30" s="3"/>
    </row>
    <row r="31" spans="1:9" x14ac:dyDescent="0.25">
      <c r="B31" s="179"/>
      <c r="C31" s="48"/>
      <c r="D31" s="3"/>
    </row>
    <row r="32" spans="1:9" x14ac:dyDescent="0.25">
      <c r="B32"/>
      <c r="C32" s="48"/>
      <c r="D32" s="3"/>
    </row>
    <row r="33" spans="2:4" ht="39" customHeight="1" x14ac:dyDescent="0.25">
      <c r="B33"/>
      <c r="C33" s="48"/>
      <c r="D33" s="3"/>
    </row>
    <row r="34" spans="2:4" x14ac:dyDescent="0.25">
      <c r="B34" s="49"/>
      <c r="C34" s="48"/>
      <c r="D34" s="3"/>
    </row>
    <row r="35" spans="2:4" x14ac:dyDescent="0.25">
      <c r="B35" s="422"/>
      <c r="C35" s="48"/>
      <c r="D35" s="3"/>
    </row>
    <row r="36" spans="2:4" x14ac:dyDescent="0.25">
      <c r="B36" s="422"/>
      <c r="C36" s="48"/>
      <c r="D36" s="3"/>
    </row>
    <row r="37" spans="2:4" ht="6.75" customHeight="1" x14ac:dyDescent="0.25">
      <c r="B37" s="422"/>
      <c r="C37" s="48"/>
      <c r="D37" s="3"/>
    </row>
    <row r="38" spans="2:4" ht="98.25" customHeight="1" x14ac:dyDescent="0.25">
      <c r="B38" s="519" t="s">
        <v>587</v>
      </c>
      <c r="D38" s="3"/>
    </row>
    <row r="39" spans="2:4" x14ac:dyDescent="0.25">
      <c r="B39" s="423" t="s">
        <v>407</v>
      </c>
      <c r="C39" s="48"/>
      <c r="D39" s="3"/>
    </row>
    <row r="40" spans="2:4" x14ac:dyDescent="0.25">
      <c r="C40" s="48"/>
      <c r="D40" s="3"/>
    </row>
    <row r="41" spans="2:4" x14ac:dyDescent="0.25">
      <c r="B41" s="179"/>
      <c r="C41" s="48"/>
      <c r="D41" s="3"/>
    </row>
    <row r="42" spans="2:4" ht="34.5" customHeight="1" x14ac:dyDescent="0.25">
      <c r="B42" s="178"/>
      <c r="C42" s="48"/>
      <c r="D42" s="3"/>
    </row>
    <row r="43" spans="2:4" ht="30.75" customHeight="1" x14ac:dyDescent="0.25">
      <c r="B43" s="49"/>
      <c r="C43" s="48"/>
      <c r="D43" s="3"/>
    </row>
    <row r="44" spans="2:4" ht="21.75" customHeight="1" x14ac:dyDescent="0.25">
      <c r="B44" s="49"/>
      <c r="C44" s="48"/>
      <c r="D44" s="3"/>
    </row>
    <row r="45" spans="2:4" ht="177" customHeight="1" x14ac:dyDescent="0.25">
      <c r="B45" s="663" t="s">
        <v>584</v>
      </c>
      <c r="C45" s="48"/>
      <c r="D45" s="3"/>
    </row>
    <row r="46" spans="2:4" x14ac:dyDescent="0.25">
      <c r="B46" s="557" t="s">
        <v>564</v>
      </c>
      <c r="C46" s="48"/>
      <c r="D46" s="3"/>
    </row>
    <row r="47" spans="2:4" ht="63" customHeight="1" x14ac:dyDescent="0.25">
      <c r="B47" s="557"/>
      <c r="C47" s="48"/>
      <c r="D47" s="3"/>
    </row>
    <row r="48" spans="2:4" ht="100.5" customHeight="1" x14ac:dyDescent="0.25">
      <c r="B48" s="663" t="s">
        <v>583</v>
      </c>
      <c r="C48" s="48"/>
      <c r="D48" s="3"/>
    </row>
    <row r="49" spans="1:8" x14ac:dyDescent="0.25">
      <c r="B49" s="557"/>
      <c r="C49" s="48"/>
      <c r="D49" s="3"/>
    </row>
    <row r="50" spans="1:8" ht="25.5" customHeight="1" x14ac:dyDescent="0.25">
      <c r="B50" s="248"/>
      <c r="C50" s="249" t="s">
        <v>174</v>
      </c>
      <c r="D50" s="3"/>
    </row>
    <row r="51" spans="1:8" ht="25.5" customHeight="1" x14ac:dyDescent="0.25">
      <c r="B51" s="280" t="s">
        <v>175</v>
      </c>
      <c r="C51" s="281">
        <v>0</v>
      </c>
      <c r="D51" s="3"/>
    </row>
    <row r="52" spans="1:8" ht="25.5" customHeight="1" x14ac:dyDescent="0.25">
      <c r="B52" s="282" t="s">
        <v>176</v>
      </c>
      <c r="C52" s="283" t="s">
        <v>177</v>
      </c>
      <c r="D52" s="3"/>
    </row>
    <row r="53" spans="1:8" ht="25.5" customHeight="1" x14ac:dyDescent="0.25">
      <c r="B53" s="282" t="s">
        <v>178</v>
      </c>
      <c r="C53" s="283" t="s">
        <v>179</v>
      </c>
      <c r="D53" s="3"/>
    </row>
    <row r="54" spans="1:8" ht="25.5" customHeight="1" x14ac:dyDescent="0.25">
      <c r="B54" s="284" t="s">
        <v>180</v>
      </c>
      <c r="C54" s="285" t="s">
        <v>181</v>
      </c>
      <c r="D54" s="3"/>
    </row>
    <row r="55" spans="1:8" x14ac:dyDescent="0.25">
      <c r="B55" s="49"/>
      <c r="C55" s="48"/>
      <c r="D55" s="3"/>
    </row>
    <row r="56" spans="1:8" x14ac:dyDescent="0.25">
      <c r="B56" s="49"/>
      <c r="C56" s="48"/>
      <c r="D56" s="3"/>
    </row>
    <row r="57" spans="1:8" x14ac:dyDescent="0.25">
      <c r="B57" s="49"/>
      <c r="C57" s="48"/>
      <c r="D57" s="3"/>
    </row>
    <row r="58" spans="1:8" s="85" customFormat="1" ht="15.75" x14ac:dyDescent="0.25">
      <c r="A58" s="88"/>
      <c r="B58" s="4" t="s">
        <v>143</v>
      </c>
      <c r="C58" s="48"/>
      <c r="D58" s="3"/>
      <c r="F58" s="88"/>
      <c r="G58" s="88"/>
      <c r="H58" s="88"/>
    </row>
    <row r="59" spans="1:8" ht="15.75" x14ac:dyDescent="0.25">
      <c r="B59" s="4"/>
      <c r="C59" s="48"/>
      <c r="D59" s="3"/>
      <c r="E59" s="133"/>
      <c r="F59" s="133"/>
      <c r="G59" s="133"/>
    </row>
    <row r="60" spans="1:8" ht="30" customHeight="1" x14ac:dyDescent="0.25">
      <c r="B60" s="276" t="s">
        <v>40</v>
      </c>
      <c r="C60" s="10" t="s">
        <v>41</v>
      </c>
      <c r="D60" s="414" t="s">
        <v>390</v>
      </c>
      <c r="E60" s="133"/>
      <c r="F60" s="133"/>
      <c r="G60" s="133"/>
    </row>
    <row r="61" spans="1:8" s="85" customFormat="1" ht="34.5" customHeight="1" x14ac:dyDescent="0.25">
      <c r="A61" s="88"/>
      <c r="B61" s="426" t="s">
        <v>81</v>
      </c>
      <c r="C61" s="427" t="s">
        <v>1</v>
      </c>
      <c r="D61" s="428">
        <f>'Fiche de renseignements'!$C$10</f>
        <v>0</v>
      </c>
      <c r="E61" s="133"/>
      <c r="F61" s="133"/>
      <c r="G61" s="133"/>
      <c r="H61" s="88"/>
    </row>
    <row r="62" spans="1:8" ht="34.5" customHeight="1" x14ac:dyDescent="0.25">
      <c r="B62" s="664" t="s">
        <v>585</v>
      </c>
      <c r="C62" s="427" t="s">
        <v>37</v>
      </c>
      <c r="D62" s="516">
        <f>SUM(D65:G65,D68:G68)</f>
        <v>0</v>
      </c>
      <c r="E62" s="133"/>
      <c r="F62" s="133"/>
      <c r="G62" s="133"/>
    </row>
    <row r="63" spans="1:8" ht="34.5" customHeight="1" x14ac:dyDescent="0.25">
      <c r="B63" s="430"/>
      <c r="C63" s="432"/>
      <c r="D63" s="433"/>
      <c r="E63" s="429"/>
      <c r="F63" s="133"/>
      <c r="G63" s="133"/>
      <c r="H63" s="109"/>
    </row>
    <row r="64" spans="1:8" ht="36" customHeight="1" x14ac:dyDescent="0.25">
      <c r="B64" s="429"/>
      <c r="C64" s="431"/>
      <c r="D64" s="12" t="s">
        <v>314</v>
      </c>
      <c r="E64" s="12" t="s">
        <v>315</v>
      </c>
      <c r="F64" s="12" t="s">
        <v>316</v>
      </c>
      <c r="G64" s="12" t="s">
        <v>317</v>
      </c>
      <c r="H64" s="109"/>
    </row>
    <row r="65" spans="1:10" customFormat="1" ht="35.25" customHeight="1" x14ac:dyDescent="0.25">
      <c r="A65" s="88"/>
      <c r="B65" s="370" t="s">
        <v>516</v>
      </c>
      <c r="C65" s="52" t="s">
        <v>37</v>
      </c>
      <c r="D65" s="421">
        <f>VLOOKUP($B65,'Fiche de renseignements'!$B$64:$G$190,3,FALSE)</f>
        <v>0</v>
      </c>
      <c r="E65" s="421">
        <f>VLOOKUP($B65,'Fiche de renseignements'!$B$64:$G$190,4,FALSE)</f>
        <v>0</v>
      </c>
      <c r="F65" s="421">
        <f>VLOOKUP($B65,'Fiche de renseignements'!$B$64:$G$190,5,FALSE)</f>
        <v>0</v>
      </c>
      <c r="G65" s="421">
        <f>VLOOKUP($B65,'Fiche de renseignements'!$B$64:$G$190,6,FALSE)</f>
        <v>0</v>
      </c>
      <c r="H65" s="88"/>
    </row>
    <row r="66" spans="1:10" ht="35.25" customHeight="1" x14ac:dyDescent="0.25">
      <c r="B66" s="6" t="s">
        <v>442</v>
      </c>
      <c r="C66" s="50" t="s">
        <v>51</v>
      </c>
      <c r="D66" s="548">
        <f>VLOOKUP($B66,'Fiche de renseignements'!$B$64:$D$190,3,FALSE)</f>
        <v>0</v>
      </c>
      <c r="E66" s="549">
        <f>VLOOKUP($B66,'Fiche de renseignements'!$B$64:$G$190,4,FALSE)</f>
        <v>0</v>
      </c>
      <c r="F66" s="548">
        <f>VLOOKUP($B66,'Fiche de renseignements'!$B$64:$G$190,5,FALSE)</f>
        <v>0</v>
      </c>
      <c r="G66" s="548">
        <f>VLOOKUP($B66,'Fiche de renseignements'!$B$64:$G$190,6,FALSE)</f>
        <v>0</v>
      </c>
    </row>
    <row r="67" spans="1:10" ht="35.25" customHeight="1" x14ac:dyDescent="0.25">
      <c r="B67" s="665" t="s">
        <v>555</v>
      </c>
      <c r="C67" s="666" t="s">
        <v>1</v>
      </c>
      <c r="D67" s="667">
        <f>IF(AND(VLOOKUP($B67,'Fiche de renseignements'!$B$64:$G$191,3,FALSE)=0,D65&gt;0),1,VLOOKUP($B67,'Fiche de renseignements'!$B$64:$D$191,3,FALSE))</f>
        <v>0</v>
      </c>
      <c r="E67" s="667">
        <f>IF(AND(VLOOKUP($B67,'Fiche de renseignements'!$B$64:$G$191,4,FALSE)=0,E65&gt;0),1,VLOOKUP($B67,'Fiche de renseignements'!$B$64:$G$191,4,FALSE))</f>
        <v>0</v>
      </c>
      <c r="F67" s="667">
        <f>IF(AND(VLOOKUP($B67,'Fiche de renseignements'!$B$64:$G$191,5,FALSE)=0,F65&gt;0),1,VLOOKUP($B67,'Fiche de renseignements'!$B$64:$G$191,5,FALSE))</f>
        <v>0</v>
      </c>
      <c r="G67" s="667">
        <f>IF(AND(VLOOKUP($B67,'Fiche de renseignements'!$B$64:$G$191,6,FALSE)=0,G65&gt;0),1,VLOOKUP($B67,'Fiche de renseignements'!$B$64:$G$191,6,FALSE))</f>
        <v>0</v>
      </c>
    </row>
    <row r="68" spans="1:10" ht="35.25" customHeight="1" x14ac:dyDescent="0.25">
      <c r="B68" s="448" t="s">
        <v>517</v>
      </c>
      <c r="C68" s="52" t="s">
        <v>37</v>
      </c>
      <c r="D68" s="421">
        <f>VLOOKUP($B68,'Fiche de renseignements'!$B$64:$G$190,3,FALSE)</f>
        <v>0</v>
      </c>
      <c r="E68" s="421">
        <f>VLOOKUP($B68,'Fiche de renseignements'!$B$64:$G$190,4,FALSE)</f>
        <v>0</v>
      </c>
      <c r="F68" s="421">
        <f>VLOOKUP($B68,'Fiche de renseignements'!$B$64:$G$190,5,FALSE)</f>
        <v>0</v>
      </c>
      <c r="G68" s="421">
        <f>VLOOKUP($B68,'Fiche de renseignements'!$B$64:$G$190,6,FALSE)</f>
        <v>0</v>
      </c>
    </row>
    <row r="69" spans="1:10" ht="35.25" customHeight="1" x14ac:dyDescent="0.25">
      <c r="B69" s="6" t="s">
        <v>443</v>
      </c>
      <c r="C69" s="50" t="s">
        <v>51</v>
      </c>
      <c r="D69" s="548">
        <f>VLOOKUP($B69,'Fiche de renseignements'!$B$64:$D$190,3,FALSE)</f>
        <v>0</v>
      </c>
      <c r="E69" s="549">
        <f>VLOOKUP($B69,'Fiche de renseignements'!$B$64:$G$190,4,FALSE)</f>
        <v>0</v>
      </c>
      <c r="F69" s="548">
        <f>VLOOKUP($B69,'Fiche de renseignements'!$B$64:$G$190,5,FALSE)</f>
        <v>0</v>
      </c>
      <c r="G69" s="548">
        <f>VLOOKUP($B69,'Fiche de renseignements'!$B$64:$G$190,6,FALSE)</f>
        <v>0</v>
      </c>
    </row>
    <row r="70" spans="1:10" ht="35.25" customHeight="1" x14ac:dyDescent="0.25">
      <c r="B70" s="665" t="s">
        <v>556</v>
      </c>
      <c r="C70" s="666" t="s">
        <v>1</v>
      </c>
      <c r="D70" s="667">
        <f>IF(AND(VLOOKUP($B70,'Fiche de renseignements'!$B$64:$G$191,3,FALSE)=0,D68&gt;0),1,VLOOKUP($B70,'Fiche de renseignements'!$B$64:$D$191,3,FALSE))</f>
        <v>0</v>
      </c>
      <c r="E70" s="667">
        <f>IF(AND(VLOOKUP($B70,'Fiche de renseignements'!$B$64:$G$191,4,FALSE)=0,E68&gt;0),1,VLOOKUP($B70,'Fiche de renseignements'!$B$64:$G$191,4,FALSE))</f>
        <v>0</v>
      </c>
      <c r="F70" s="667">
        <f>IF(AND(VLOOKUP($B70,'Fiche de renseignements'!$B$64:$G$191,5,FALSE)=0,F68&gt;0),1,VLOOKUP($B70,'Fiche de renseignements'!$B$64:$G$191,5,FALSE))</f>
        <v>0</v>
      </c>
      <c r="G70" s="667">
        <f>IF(AND(VLOOKUP($B70,'Fiche de renseignements'!$B$64:$G$191,6,FALSE)=0,G68&gt;0),1,VLOOKUP($B70,'Fiche de renseignements'!$B$64:$G$191,6,FALSE))</f>
        <v>0</v>
      </c>
    </row>
    <row r="71" spans="1:10" customFormat="1" ht="35.25" customHeight="1" x14ac:dyDescent="0.25">
      <c r="A71" s="88"/>
      <c r="B71" s="723" t="s">
        <v>106</v>
      </c>
      <c r="C71" s="427" t="s">
        <v>51</v>
      </c>
      <c r="D71" s="724">
        <f>VLOOKUP($B71,'Fiche de renseignements'!$B$64:$D$199,3,FALSE)</f>
        <v>0</v>
      </c>
      <c r="E71" s="724">
        <f>VLOOKUP($B71,'Fiche de renseignements'!$B$64:$G$199,4,FALSE)</f>
        <v>0</v>
      </c>
      <c r="F71" s="724">
        <f>VLOOKUP($B71,'Fiche de renseignements'!$B$64:$G$199,5,FALSE)</f>
        <v>0</v>
      </c>
      <c r="G71" s="724">
        <f>VLOOKUP($B71,'Fiche de renseignements'!$B$64:$G$199,6,FALSE)</f>
        <v>0</v>
      </c>
      <c r="H71" s="88"/>
    </row>
    <row r="72" spans="1:10" ht="35.25" customHeight="1" x14ac:dyDescent="0.25">
      <c r="B72" s="7" t="s">
        <v>394</v>
      </c>
      <c r="C72" s="8" t="s">
        <v>194</v>
      </c>
      <c r="D72" s="449">
        <v>2</v>
      </c>
      <c r="E72" s="450">
        <v>2</v>
      </c>
      <c r="F72" s="450">
        <v>2</v>
      </c>
      <c r="G72" s="450">
        <v>2</v>
      </c>
    </row>
    <row r="73" spans="1:10" ht="26.25" customHeight="1" x14ac:dyDescent="0.25">
      <c r="B73" s="133"/>
      <c r="C73" s="277"/>
      <c r="D73" s="133"/>
      <c r="E73" s="133"/>
      <c r="F73" s="133"/>
      <c r="G73" s="133"/>
    </row>
    <row r="74" spans="1:10" ht="36.75" customHeight="1" x14ac:dyDescent="0.25">
      <c r="B74" s="276" t="s">
        <v>40</v>
      </c>
      <c r="C74" s="10" t="s">
        <v>41</v>
      </c>
      <c r="D74" s="12" t="s">
        <v>46</v>
      </c>
      <c r="E74" s="133"/>
      <c r="F74" s="451"/>
      <c r="G74" s="133"/>
    </row>
    <row r="75" spans="1:10" ht="34.5" customHeight="1" x14ac:dyDescent="0.25">
      <c r="B75" s="51" t="s">
        <v>196</v>
      </c>
      <c r="C75" s="247" t="s">
        <v>1</v>
      </c>
      <c r="D75" s="201">
        <f>'Fiche de renseignements'!$C$7</f>
        <v>0</v>
      </c>
      <c r="E75" s="133"/>
      <c r="F75" s="133"/>
      <c r="G75" s="133"/>
    </row>
    <row r="76" spans="1:10" ht="34.5" customHeight="1" x14ac:dyDescent="0.25">
      <c r="B76" s="6" t="s">
        <v>298</v>
      </c>
      <c r="C76" s="50" t="s">
        <v>195</v>
      </c>
      <c r="D76" s="158">
        <f>VLOOKUP($B76,'Fiche de renseignements'!$B$64:$D$187,3,FALSE)</f>
        <v>0</v>
      </c>
      <c r="E76" s="133"/>
      <c r="F76" s="133"/>
      <c r="G76" s="133"/>
    </row>
    <row r="77" spans="1:10" ht="34.5" customHeight="1" x14ac:dyDescent="0.25">
      <c r="B77" s="6" t="s">
        <v>141</v>
      </c>
      <c r="C77" s="50" t="s">
        <v>54</v>
      </c>
      <c r="D77" s="158">
        <f>IF(D76="NON",VLOOKUP($D$75,$N$88:$Q$183,4,FALSE),VLOOKUP($B77,'Fiche de renseignements'!$B$64:$D$187,3,FALSE))</f>
        <v>0</v>
      </c>
      <c r="E77" s="278" t="str">
        <f>IF($D$76="non","données par défaut : données météo de 2011","")</f>
        <v/>
      </c>
      <c r="F77" s="133"/>
      <c r="G77" s="133"/>
    </row>
    <row r="78" spans="1:10" customFormat="1" ht="34.5" customHeight="1" x14ac:dyDescent="0.25">
      <c r="A78" s="88"/>
      <c r="B78" s="6" t="s">
        <v>297</v>
      </c>
      <c r="C78" s="50" t="s">
        <v>54</v>
      </c>
      <c r="D78" s="158">
        <f>IF(D76="NON",VLOOKUP($D$75,$N$88:$Q$183,3,FALSE),VLOOKUP($B78,'Fiche de renseignements'!$B$64:$D$187,3,FALSE))</f>
        <v>0</v>
      </c>
      <c r="E78" s="278" t="str">
        <f t="shared" ref="E78:E79" si="0">IF($D$76="non","données par défaut : données météo de 2011","")</f>
        <v/>
      </c>
      <c r="F78" s="279"/>
      <c r="G78" s="279"/>
      <c r="H78" s="88"/>
    </row>
    <row r="79" spans="1:10" ht="34.5" customHeight="1" x14ac:dyDescent="0.25">
      <c r="B79" s="7" t="s">
        <v>151</v>
      </c>
      <c r="C79" s="8" t="s">
        <v>92</v>
      </c>
      <c r="D79" s="202">
        <f>IF(D76="NON",VLOOKUP($D$75,$N$88:$Q$183,2,FALSE),VLOOKUP($B79,'Fiche de renseignements'!$B$64:$D$187,3,FALSE))</f>
        <v>0</v>
      </c>
      <c r="E79" s="278" t="str">
        <f t="shared" si="0"/>
        <v/>
      </c>
      <c r="F79" s="279"/>
      <c r="G79" s="279"/>
    </row>
    <row r="80" spans="1:10" customFormat="1" ht="28.5" customHeight="1" x14ac:dyDescent="0.25">
      <c r="A80" s="88"/>
      <c r="B80" s="133"/>
      <c r="C80" s="133"/>
      <c r="D80" s="133"/>
      <c r="E80" s="133"/>
      <c r="F80" s="133"/>
      <c r="G80" s="133"/>
      <c r="H80" s="88"/>
      <c r="J80" s="492"/>
    </row>
    <row r="81" spans="2:17" hidden="1" x14ac:dyDescent="0.25">
      <c r="B81" s="946" t="s">
        <v>87</v>
      </c>
      <c r="C81" s="946"/>
      <c r="D81" s="946"/>
      <c r="E81" s="946"/>
      <c r="F81" s="946"/>
      <c r="G81" s="946"/>
      <c r="H81" s="929" t="s">
        <v>444</v>
      </c>
      <c r="I81" s="930"/>
      <c r="J81" s="930"/>
      <c r="K81" s="930"/>
      <c r="L81" s="930"/>
      <c r="M81" s="930"/>
    </row>
    <row r="82" spans="2:17" s="90" customFormat="1" ht="15.75" hidden="1" thickBot="1" x14ac:dyDescent="0.3">
      <c r="H82" s="204"/>
      <c r="I82" s="204"/>
      <c r="J82" s="204"/>
      <c r="K82" s="204"/>
      <c r="L82" s="204"/>
      <c r="M82" s="204"/>
    </row>
    <row r="83" spans="2:17" ht="16.5" hidden="1" thickBot="1" x14ac:dyDescent="0.3">
      <c r="B83" s="937" t="s">
        <v>560</v>
      </c>
      <c r="C83" s="938"/>
      <c r="D83" s="938"/>
      <c r="E83" s="938"/>
      <c r="F83" s="939"/>
      <c r="J83" s="492"/>
    </row>
    <row r="84" spans="2:17" hidden="1" x14ac:dyDescent="0.25">
      <c r="B84" s="668"/>
      <c r="C84" s="669" t="s">
        <v>314</v>
      </c>
      <c r="D84" s="669" t="s">
        <v>315</v>
      </c>
      <c r="E84" s="669" t="s">
        <v>316</v>
      </c>
      <c r="F84" s="670" t="s">
        <v>317</v>
      </c>
      <c r="G84" s="540"/>
    </row>
    <row r="85" spans="2:17" hidden="1" x14ac:dyDescent="0.25">
      <c r="B85" s="671" t="s">
        <v>529</v>
      </c>
      <c r="C85" s="672" t="e">
        <f>D65/SUM($D$65:$G$65,$D$68:$G$68)</f>
        <v>#DIV/0!</v>
      </c>
      <c r="D85" s="672" t="e">
        <f t="shared" ref="D85:F85" si="1">E65/SUM($D$65:$G$65,$D$68:$G$68)</f>
        <v>#DIV/0!</v>
      </c>
      <c r="E85" s="672" t="e">
        <f t="shared" si="1"/>
        <v>#DIV/0!</v>
      </c>
      <c r="F85" s="673" t="e">
        <f t="shared" si="1"/>
        <v>#DIV/0!</v>
      </c>
      <c r="G85" s="540"/>
    </row>
    <row r="86" spans="2:17" ht="15.75" hidden="1" thickBot="1" x14ac:dyDescent="0.3">
      <c r="B86" s="671" t="s">
        <v>528</v>
      </c>
      <c r="C86" s="674" t="e">
        <f>C85*$D$62</f>
        <v>#DIV/0!</v>
      </c>
      <c r="D86" s="674" t="e">
        <f t="shared" ref="D86:F86" si="2">D85*$D$62</f>
        <v>#DIV/0!</v>
      </c>
      <c r="E86" s="674" t="e">
        <f t="shared" si="2"/>
        <v>#DIV/0!</v>
      </c>
      <c r="F86" s="675" t="e">
        <f t="shared" si="2"/>
        <v>#DIV/0!</v>
      </c>
      <c r="G86" s="691"/>
    </row>
    <row r="87" spans="2:17" ht="16.5" hidden="1" thickBot="1" x14ac:dyDescent="0.3">
      <c r="B87" s="676" t="s">
        <v>142</v>
      </c>
      <c r="C87" s="677">
        <f>D66</f>
        <v>0</v>
      </c>
      <c r="D87" s="677">
        <f t="shared" ref="D87:F87" si="3">E66</f>
        <v>0</v>
      </c>
      <c r="E87" s="677">
        <f t="shared" si="3"/>
        <v>0</v>
      </c>
      <c r="F87" s="678">
        <f t="shared" si="3"/>
        <v>0</v>
      </c>
      <c r="G87" s="691"/>
      <c r="H87" s="494" t="s">
        <v>508</v>
      </c>
      <c r="I87" s="495"/>
      <c r="J87" s="496">
        <v>0.5</v>
      </c>
      <c r="K87" s="694"/>
      <c r="L87" s="497"/>
      <c r="M87" s="204"/>
      <c r="N87" s="180" t="s">
        <v>196</v>
      </c>
      <c r="O87" s="180" t="s">
        <v>294</v>
      </c>
      <c r="P87" s="182" t="s">
        <v>295</v>
      </c>
      <c r="Q87" s="187" t="s">
        <v>296</v>
      </c>
    </row>
    <row r="88" spans="2:17" hidden="1" x14ac:dyDescent="0.25">
      <c r="B88" s="943" t="s">
        <v>95</v>
      </c>
      <c r="C88" s="944"/>
      <c r="D88" s="944"/>
      <c r="E88" s="944"/>
      <c r="F88" s="945"/>
      <c r="G88" s="691"/>
      <c r="H88" s="925" t="s">
        <v>413</v>
      </c>
      <c r="I88" s="926"/>
      <c r="J88" s="204"/>
      <c r="K88" s="206" t="s">
        <v>557</v>
      </c>
      <c r="L88" s="204"/>
      <c r="M88" s="204"/>
      <c r="N88" s="181" t="s">
        <v>197</v>
      </c>
      <c r="O88" s="183">
        <v>2.12</v>
      </c>
      <c r="P88" s="184">
        <v>142.64000000000004</v>
      </c>
      <c r="Q88" s="185">
        <v>23.28</v>
      </c>
    </row>
    <row r="89" spans="2:17" s="90" customFormat="1" hidden="1" x14ac:dyDescent="0.25">
      <c r="B89" s="671" t="s">
        <v>26</v>
      </c>
      <c r="C89" s="679">
        <f>IF(ISNUMBER(0.74*0.0016*($C$110/2.2)^1.3/(C$87*100/2)^1.4),0.74*0.0016*($C$110/2.2)^1.3/(C$87*100/2)^1.4,0)</f>
        <v>0</v>
      </c>
      <c r="D89" s="679">
        <f>IF(ISNUMBER(0.74*0.0016*($C$110/2.2)^1.3/(D$87*100/2)^1.4),0.74*0.0016*($C$110/2.2)^1.3/(D$87*100/2)^1.4,0)</f>
        <v>0</v>
      </c>
      <c r="E89" s="679">
        <f t="shared" ref="E89:F89" si="4">IF(ISNUMBER(0.74*0.0016*($C$110/2.2)^1.3/(E$87*100/2)^1.4),0.74*0.0016*($C$110/2.2)^1.3/(E$87*100/2)^1.4,0)</f>
        <v>0</v>
      </c>
      <c r="F89" s="680">
        <f t="shared" si="4"/>
        <v>0</v>
      </c>
      <c r="G89" s="653" t="s">
        <v>27</v>
      </c>
      <c r="H89" s="193" t="s">
        <v>107</v>
      </c>
      <c r="I89" s="207">
        <f>D65</f>
        <v>0</v>
      </c>
      <c r="J89" s="101" t="s">
        <v>25</v>
      </c>
      <c r="K89" s="695">
        <f>IF(ISNUMBER((3*I89/I93/(I95*TAN(RADIANS(I94))*PI()))^(1/3)),(3*I89/I93/(I95*TAN(RADIANS(I94))*PI()))^(1/3),0)</f>
        <v>0</v>
      </c>
      <c r="L89" s="550"/>
      <c r="M89" s="204"/>
      <c r="N89" s="181" t="s">
        <v>198</v>
      </c>
      <c r="O89" s="183">
        <v>3.45714285714286</v>
      </c>
      <c r="P89" s="184">
        <v>127.91428571428571</v>
      </c>
      <c r="Q89" s="185">
        <v>27.599999999999998</v>
      </c>
    </row>
    <row r="90" spans="2:17" s="90" customFormat="1" hidden="1" x14ac:dyDescent="0.25">
      <c r="B90" s="671" t="s">
        <v>30</v>
      </c>
      <c r="C90" s="679">
        <f>IF(ISNUMBER(0.35*0.0016*($C$110/2.2)^1.3/(C$87*100/2)^1.4),0.35*0.0016*($C$110/2.2)^1.3/(C$87*100/2)^1.4,0)</f>
        <v>0</v>
      </c>
      <c r="D90" s="679">
        <f>IF(ISNUMBER(0.35*0.0016*($C$110/2.2)^1.3/(D$87*100/2)^1.4),0.35*0.0016*($C$110/2.2)^1.3/(D$87*100/2)^1.4,0)</f>
        <v>0</v>
      </c>
      <c r="E90" s="679">
        <f t="shared" ref="E90:F90" si="5">IF(ISNUMBER(0.35*0.0016*($C$110/2.2)^1.3/(E$87*100/2)^1.4),0.35*0.0016*($C$110/2.2)^1.3/(E$87*100/2)^1.4,0)</f>
        <v>0</v>
      </c>
      <c r="F90" s="680">
        <f t="shared" si="5"/>
        <v>0</v>
      </c>
      <c r="G90" s="653" t="s">
        <v>27</v>
      </c>
      <c r="H90" s="193" t="s">
        <v>58</v>
      </c>
      <c r="I90" s="208">
        <f>C194</f>
        <v>0</v>
      </c>
      <c r="J90" s="111" t="s">
        <v>59</v>
      </c>
      <c r="K90" s="96" t="s">
        <v>558</v>
      </c>
      <c r="L90" s="204"/>
      <c r="M90" s="204"/>
      <c r="N90" s="181" t="s">
        <v>199</v>
      </c>
      <c r="O90" s="183">
        <v>2.5</v>
      </c>
      <c r="P90" s="184">
        <v>160.98206896551719</v>
      </c>
      <c r="Q90" s="185">
        <v>33.36</v>
      </c>
    </row>
    <row r="91" spans="2:17" s="90" customFormat="1" ht="15.75" hidden="1" thickBot="1" x14ac:dyDescent="0.3">
      <c r="B91" s="676" t="s">
        <v>32</v>
      </c>
      <c r="C91" s="681">
        <f>IF(ISNUMBER(0.053*0.0016*($C$110/2.2)^1.3/(C$87*100/2)^1.4),0.053*0.0016*($C$110/2.2)^1.3/(C$87*100/2)^1.4,0)</f>
        <v>0</v>
      </c>
      <c r="D91" s="681">
        <f>IF(ISNUMBER(0.053*0.0016*($C$110/2.2)^1.3/(D$87*100/2)^1.4),0.053*0.0016*($C$110/2.2)^1.3/(D$87*100/2)^1.4,0)</f>
        <v>0</v>
      </c>
      <c r="E91" s="681">
        <f t="shared" ref="E91:F91" si="6">IF(ISNUMBER(0.053*0.0016*($C$110/2.2)^1.3/(E$87*100/2)^1.4),0.053*0.0016*($C$110/2.2)^1.3/(E$87*100/2)^1.4,0)</f>
        <v>0</v>
      </c>
      <c r="F91" s="682">
        <f t="shared" si="6"/>
        <v>0</v>
      </c>
      <c r="G91" s="653" t="s">
        <v>27</v>
      </c>
      <c r="H91" s="193" t="s">
        <v>88</v>
      </c>
      <c r="I91" s="697">
        <f>D71</f>
        <v>0</v>
      </c>
      <c r="J91" s="111" t="s">
        <v>89</v>
      </c>
      <c r="K91" s="695">
        <f>TAN(RADIANS(I94))*K89</f>
        <v>0</v>
      </c>
      <c r="L91" s="204"/>
      <c r="M91" s="204"/>
      <c r="N91" s="181" t="s">
        <v>200</v>
      </c>
      <c r="O91" s="183">
        <v>2.15</v>
      </c>
      <c r="P91" s="184">
        <v>110.79999999999997</v>
      </c>
      <c r="Q91" s="185">
        <v>33</v>
      </c>
    </row>
    <row r="92" spans="2:17" s="90" customFormat="1" hidden="1" x14ac:dyDescent="0.25">
      <c r="B92" s="943" t="s">
        <v>101</v>
      </c>
      <c r="C92" s="944"/>
      <c r="D92" s="944"/>
      <c r="E92" s="944"/>
      <c r="F92" s="945"/>
      <c r="G92" s="692"/>
      <c r="H92" s="193" t="s">
        <v>90</v>
      </c>
      <c r="I92" s="697">
        <f>E200</f>
        <v>0.5</v>
      </c>
      <c r="J92" s="111" t="s">
        <v>91</v>
      </c>
      <c r="K92" s="206" t="s">
        <v>96</v>
      </c>
      <c r="L92" s="204"/>
      <c r="M92" s="204"/>
      <c r="N92" s="181" t="s">
        <v>201</v>
      </c>
      <c r="O92" s="183">
        <v>2.1749999999999998</v>
      </c>
      <c r="P92" s="184">
        <v>126.30000000000001</v>
      </c>
      <c r="Q92" s="185">
        <v>32.25</v>
      </c>
    </row>
    <row r="93" spans="2:17" s="90" customFormat="1" ht="17.25" hidden="1" customHeight="1" x14ac:dyDescent="0.25">
      <c r="B93" s="671" t="s">
        <v>26</v>
      </c>
      <c r="C93" s="674" t="e">
        <f t="shared" ref="C93:D95" si="7">C89*C$86*$C$111</f>
        <v>#DIV/0!</v>
      </c>
      <c r="D93" s="674" t="e">
        <f t="shared" si="7"/>
        <v>#DIV/0!</v>
      </c>
      <c r="E93" s="674" t="e">
        <f t="shared" ref="E93:F93" si="8">E89*E$86*$C$111</f>
        <v>#DIV/0!</v>
      </c>
      <c r="F93" s="675" t="e">
        <f t="shared" si="8"/>
        <v>#DIV/0!</v>
      </c>
      <c r="G93" s="574"/>
      <c r="H93" s="209" t="s">
        <v>31</v>
      </c>
      <c r="I93" s="698">
        <v>2.5</v>
      </c>
      <c r="J93" s="101" t="s">
        <v>19</v>
      </c>
      <c r="K93" s="696">
        <f>I95*PI()*K89*SQRT(K89^2+K91^2)</f>
        <v>0</v>
      </c>
      <c r="L93" s="550"/>
      <c r="M93" s="111"/>
      <c r="N93" s="181" t="s">
        <v>202</v>
      </c>
      <c r="O93" s="183">
        <v>2.8571428571428599</v>
      </c>
      <c r="P93" s="184">
        <v>105.84285714285718</v>
      </c>
      <c r="Q93" s="185">
        <v>50.57142857142852</v>
      </c>
    </row>
    <row r="94" spans="2:17" s="90" customFormat="1" hidden="1" x14ac:dyDescent="0.25">
      <c r="B94" s="671" t="s">
        <v>30</v>
      </c>
      <c r="C94" s="674" t="e">
        <f t="shared" si="7"/>
        <v>#DIV/0!</v>
      </c>
      <c r="D94" s="674" t="e">
        <f t="shared" si="7"/>
        <v>#DIV/0!</v>
      </c>
      <c r="E94" s="674" t="e">
        <f t="shared" ref="E94:F94" si="9">E90*E$86*$C$111</f>
        <v>#DIV/0!</v>
      </c>
      <c r="F94" s="675" t="e">
        <f t="shared" si="9"/>
        <v>#DIV/0!</v>
      </c>
      <c r="G94" s="574"/>
      <c r="H94" s="215" t="s">
        <v>553</v>
      </c>
      <c r="I94" s="699">
        <v>30</v>
      </c>
      <c r="K94" s="61"/>
      <c r="N94" s="181" t="s">
        <v>203</v>
      </c>
      <c r="O94" s="183">
        <v>3.0874999999999999</v>
      </c>
      <c r="P94" s="184">
        <v>117.35000000000002</v>
      </c>
      <c r="Q94" s="185">
        <v>66.900000000000006</v>
      </c>
    </row>
    <row r="95" spans="2:17" s="90" customFormat="1" ht="15.75" hidden="1" thickBot="1" x14ac:dyDescent="0.3">
      <c r="B95" s="683" t="s">
        <v>32</v>
      </c>
      <c r="C95" s="684" t="e">
        <f t="shared" si="7"/>
        <v>#DIV/0!</v>
      </c>
      <c r="D95" s="684" t="e">
        <f t="shared" si="7"/>
        <v>#DIV/0!</v>
      </c>
      <c r="E95" s="684" t="e">
        <f t="shared" ref="E95:F95" si="10">E91*E$86*$C$111</f>
        <v>#DIV/0!</v>
      </c>
      <c r="F95" s="685" t="e">
        <f t="shared" si="10"/>
        <v>#DIV/0!</v>
      </c>
      <c r="G95" s="574"/>
      <c r="H95" s="215" t="s">
        <v>554</v>
      </c>
      <c r="I95" s="700">
        <f>D67</f>
        <v>0</v>
      </c>
      <c r="K95" s="61"/>
      <c r="N95" s="181" t="s">
        <v>204</v>
      </c>
      <c r="O95" s="183">
        <v>2.84</v>
      </c>
      <c r="P95" s="184">
        <v>151.05999999999997</v>
      </c>
      <c r="Q95" s="185">
        <v>25.92</v>
      </c>
    </row>
    <row r="96" spans="2:17" s="90" customFormat="1" ht="16.5" hidden="1" thickBot="1" x14ac:dyDescent="0.3">
      <c r="B96" s="934" t="s">
        <v>559</v>
      </c>
      <c r="C96" s="935"/>
      <c r="D96" s="935"/>
      <c r="E96" s="935"/>
      <c r="F96" s="936"/>
      <c r="G96" s="61"/>
      <c r="H96" s="210" t="s">
        <v>100</v>
      </c>
      <c r="I96" s="661"/>
      <c r="J96" s="204"/>
      <c r="K96" s="205"/>
      <c r="L96" s="204"/>
      <c r="M96" s="204"/>
      <c r="N96" s="181" t="s">
        <v>205</v>
      </c>
      <c r="O96" s="183">
        <v>2.2400000000000002</v>
      </c>
      <c r="P96" s="184">
        <v>149.36000000000001</v>
      </c>
      <c r="Q96" s="185">
        <v>44.160000000000004</v>
      </c>
    </row>
    <row r="97" spans="2:17" hidden="1" x14ac:dyDescent="0.25">
      <c r="B97" s="686"/>
      <c r="C97" s="687" t="s">
        <v>314</v>
      </c>
      <c r="D97" s="687" t="s">
        <v>315</v>
      </c>
      <c r="E97" s="687" t="s">
        <v>316</v>
      </c>
      <c r="F97" s="688" t="s">
        <v>317</v>
      </c>
      <c r="G97" s="691"/>
      <c r="H97" s="193" t="s">
        <v>26</v>
      </c>
      <c r="I97" s="211">
        <f>(0.000112*1*1.7*($I$90*100/1.5)*(365*(365-$D$78)/235)*($D$77/365)*100/15)</f>
        <v>0</v>
      </c>
      <c r="J97" s="206" t="s">
        <v>61</v>
      </c>
      <c r="K97" s="212"/>
      <c r="L97" s="111"/>
      <c r="M97" s="111"/>
      <c r="N97" s="181" t="s">
        <v>206</v>
      </c>
      <c r="O97" s="183">
        <v>3.2</v>
      </c>
      <c r="P97" s="184">
        <v>135.57</v>
      </c>
      <c r="Q97" s="185">
        <v>31.92</v>
      </c>
    </row>
    <row r="98" spans="2:17" hidden="1" x14ac:dyDescent="0.25">
      <c r="B98" s="671" t="s">
        <v>529</v>
      </c>
      <c r="C98" s="672" t="e">
        <f>D68/SUM($D$65:$G$65,$D$68:$G$68)</f>
        <v>#DIV/0!</v>
      </c>
      <c r="D98" s="672" t="e">
        <f>E68/SUM($D$65:$G$65,$D$68:$G$68)</f>
        <v>#DIV/0!</v>
      </c>
      <c r="E98" s="672" t="e">
        <f>F68/SUM($D$65:$G$65,$D$68:$G$68)</f>
        <v>#DIV/0!</v>
      </c>
      <c r="F98" s="673" t="e">
        <f>G68/SUM($D$65:$G$65,$D$68:$G$68)</f>
        <v>#DIV/0!</v>
      </c>
      <c r="G98" s="691"/>
      <c r="H98" s="193" t="s">
        <v>30</v>
      </c>
      <c r="I98" s="211">
        <f>(0.000112*0.5*1.7*($I$90*100/1.5)*(365*(365-$D$78)/235)*($D$77/365)*100/15)</f>
        <v>0</v>
      </c>
      <c r="J98" s="206" t="s">
        <v>61</v>
      </c>
      <c r="K98" s="213"/>
      <c r="L98" s="214"/>
      <c r="M98" s="112"/>
      <c r="N98" s="181" t="s">
        <v>207</v>
      </c>
      <c r="O98" s="183">
        <v>4.7428571428571402</v>
      </c>
      <c r="P98" s="184">
        <v>101.31428571428567</v>
      </c>
      <c r="Q98" s="185">
        <v>133.02857142857158</v>
      </c>
    </row>
    <row r="99" spans="2:17" hidden="1" x14ac:dyDescent="0.25">
      <c r="B99" s="671" t="s">
        <v>528</v>
      </c>
      <c r="C99" s="674" t="e">
        <f>C98*$D$62</f>
        <v>#DIV/0!</v>
      </c>
      <c r="D99" s="674" t="e">
        <f>D98*$D$62</f>
        <v>#DIV/0!</v>
      </c>
      <c r="E99" s="674" t="e">
        <f>E98*$D$62</f>
        <v>#DIV/0!</v>
      </c>
      <c r="F99" s="675" t="e">
        <f>F98*$D$62</f>
        <v>#DIV/0!</v>
      </c>
      <c r="G99" s="691"/>
      <c r="H99" s="193" t="s">
        <v>32</v>
      </c>
      <c r="I99" s="211">
        <f>(0.000112*0.2*1.7*($I$90*100/1.5)*(365*(365-$D$78)/235)*($D$77/365)*100/15)</f>
        <v>0</v>
      </c>
      <c r="J99" s="206" t="s">
        <v>61</v>
      </c>
      <c r="K99" s="213"/>
      <c r="L99" s="214"/>
      <c r="M99" s="112"/>
      <c r="N99" s="181" t="s">
        <v>208</v>
      </c>
      <c r="O99" s="183">
        <v>3.5750000000000002</v>
      </c>
      <c r="P99" s="184">
        <v>144.32999999999998</v>
      </c>
      <c r="Q99" s="185">
        <v>76.050000000000011</v>
      </c>
    </row>
    <row r="100" spans="2:17" ht="15.75" hidden="1" thickBot="1" x14ac:dyDescent="0.3">
      <c r="B100" s="683" t="s">
        <v>142</v>
      </c>
      <c r="C100" s="689">
        <f>D69</f>
        <v>0</v>
      </c>
      <c r="D100" s="689">
        <f>E69</f>
        <v>0</v>
      </c>
      <c r="E100" s="689">
        <f>F69</f>
        <v>0</v>
      </c>
      <c r="F100" s="690">
        <f>G69</f>
        <v>0</v>
      </c>
      <c r="G100" s="691"/>
      <c r="H100" s="215"/>
      <c r="I100" s="216"/>
      <c r="J100" s="206"/>
      <c r="K100" s="213"/>
      <c r="L100" s="214"/>
      <c r="M100" s="112"/>
      <c r="N100" s="181" t="s">
        <v>209</v>
      </c>
      <c r="O100" s="183">
        <v>3.3666666666666698</v>
      </c>
      <c r="P100" s="184">
        <v>81.551515151515176</v>
      </c>
      <c r="Q100" s="185">
        <v>68.133333333333354</v>
      </c>
    </row>
    <row r="101" spans="2:17" hidden="1" x14ac:dyDescent="0.25">
      <c r="B101" s="940" t="s">
        <v>95</v>
      </c>
      <c r="C101" s="941"/>
      <c r="D101" s="941"/>
      <c r="E101" s="941"/>
      <c r="F101" s="942"/>
      <c r="G101" s="691"/>
      <c r="H101" s="193"/>
      <c r="I101" s="101"/>
      <c r="J101" s="204"/>
      <c r="K101" s="205"/>
      <c r="L101" s="204"/>
      <c r="M101" s="112"/>
      <c r="N101" s="181" t="s">
        <v>210</v>
      </c>
      <c r="O101" s="183">
        <v>3.4666666666666699</v>
      </c>
      <c r="P101" s="184">
        <v>138.72258064516163</v>
      </c>
      <c r="Q101" s="185">
        <v>45.599999999999994</v>
      </c>
    </row>
    <row r="102" spans="2:17" hidden="1" x14ac:dyDescent="0.25">
      <c r="B102" s="671" t="s">
        <v>26</v>
      </c>
      <c r="C102" s="679">
        <f>IF(ISNUMBER(0.74*0.0016*($C$110/2.2)^1.3/(C$100*100/2)^1.4),0.74*0.0016*($C$110/2.2)^1.3/(C$100*100/2)^1.4,0)</f>
        <v>0</v>
      </c>
      <c r="D102" s="679">
        <f>IF(ISNUMBER(0.74*0.0016*($C$110/2.2)^1.3/(D$100*100/2)^1.4),0.74*0.0016*($C$110/2.2)^1.3/(D$100*100/2)^1.4,0)</f>
        <v>0</v>
      </c>
      <c r="E102" s="679">
        <f t="shared" ref="E102:F102" si="11">IF(ISNUMBER(0.74*0.0016*($C$110/2.2)^1.3/(E$100*100/2)^1.4),0.74*0.0016*($C$110/2.2)^1.3/(E$100*100/2)^1.4,0)</f>
        <v>0</v>
      </c>
      <c r="F102" s="680">
        <f t="shared" si="11"/>
        <v>0</v>
      </c>
      <c r="G102" s="653" t="s">
        <v>27</v>
      </c>
      <c r="H102" s="210" t="s">
        <v>101</v>
      </c>
      <c r="I102" s="217"/>
      <c r="J102" s="101" t="s">
        <v>23</v>
      </c>
      <c r="K102" s="210" t="s">
        <v>383</v>
      </c>
      <c r="L102" s="217"/>
      <c r="M102" s="112"/>
      <c r="N102" s="181" t="s">
        <v>211</v>
      </c>
      <c r="O102" s="183">
        <v>3.3</v>
      </c>
      <c r="P102" s="184">
        <v>203.85194805194772</v>
      </c>
      <c r="Q102" s="185">
        <v>66.857142857142847</v>
      </c>
    </row>
    <row r="103" spans="2:17" hidden="1" x14ac:dyDescent="0.25">
      <c r="B103" s="671" t="s">
        <v>30</v>
      </c>
      <c r="C103" s="679">
        <f>IF(ISNUMBER(0.35*0.0016*($C$110/2.2)^1.3/(C$100*100/2)^1.4),0.35*0.0016*($C$110/2.2)^1.3/(C$100*100/2)^1.4,0)</f>
        <v>0</v>
      </c>
      <c r="D103" s="679">
        <f>IF(ISNUMBER(0.35*0.0016*($C$110/2.2)^1.3/(D$100*100/2)^1.4),0.35*0.0016*($C$110/2.2)^1.3/(D$100*100/2)^1.4,0)</f>
        <v>0</v>
      </c>
      <c r="E103" s="679">
        <f t="shared" ref="E103:F103" si="12">IF(ISNUMBER(0.35*0.0016*($C$110/2.2)^1.3/(E$100*100/2)^1.4),0.35*0.0016*($C$110/2.2)^1.3/(E$100*100/2)^1.4,0)</f>
        <v>0</v>
      </c>
      <c r="F103" s="680">
        <f t="shared" si="12"/>
        <v>0</v>
      </c>
      <c r="G103" s="653" t="s">
        <v>27</v>
      </c>
      <c r="H103" s="193" t="s">
        <v>26</v>
      </c>
      <c r="I103" s="188">
        <f>$K$93*I97*($I$91*(1-$I$92)+1-$I$91)*(1-$J$87)</f>
        <v>0</v>
      </c>
      <c r="J103" s="55" t="e">
        <f>I103/$I$103</f>
        <v>#DIV/0!</v>
      </c>
      <c r="K103" s="193" t="s">
        <v>26</v>
      </c>
      <c r="L103" s="188">
        <f>$K$93*I97</f>
        <v>0</v>
      </c>
      <c r="M103" s="112"/>
      <c r="N103" s="181" t="s">
        <v>212</v>
      </c>
      <c r="O103" s="183">
        <v>3.04</v>
      </c>
      <c r="P103" s="184">
        <v>143.85000000000002</v>
      </c>
      <c r="Q103" s="185">
        <v>35.519999999999996</v>
      </c>
    </row>
    <row r="104" spans="2:17" ht="15.75" hidden="1" thickBot="1" x14ac:dyDescent="0.3">
      <c r="B104" s="676" t="s">
        <v>32</v>
      </c>
      <c r="C104" s="681">
        <f>IF(ISNUMBER(0.053*0.0016*($C$110/2.2)^1.3/(C$100*100/2)^1.4),0.053*0.0016*($C$110/2.2)^1.3/(C$100*100/2)^1.4,0)</f>
        <v>0</v>
      </c>
      <c r="D104" s="681">
        <f>IF(ISNUMBER(0.053*0.0016*($C$110/2.2)^1.3/(D$100*100/2)^1.4),0.053*0.0016*($C$110/2.2)^1.3/(D$100*100/2)^1.4,0)</f>
        <v>0</v>
      </c>
      <c r="E104" s="681">
        <f t="shared" ref="E104:F104" si="13">IF(ISNUMBER(0.053*0.0016*($C$110/2.2)^1.3/(E$100*100/2)^1.4),0.053*0.0016*($C$110/2.2)^1.3/(E$100*100/2)^1.4,0)</f>
        <v>0</v>
      </c>
      <c r="F104" s="682">
        <f t="shared" si="13"/>
        <v>0</v>
      </c>
      <c r="G104" s="653" t="s">
        <v>27</v>
      </c>
      <c r="H104" s="193" t="s">
        <v>30</v>
      </c>
      <c r="I104" s="188">
        <f>$K$93*I98*($I$91*(1-$I$92)+1-$I$91)*(1-$J$87)</f>
        <v>0</v>
      </c>
      <c r="J104" s="55" t="e">
        <f>I104/$I$103</f>
        <v>#DIV/0!</v>
      </c>
      <c r="K104" s="193" t="s">
        <v>30</v>
      </c>
      <c r="L104" s="188">
        <f>$K$93*I98</f>
        <v>0</v>
      </c>
      <c r="M104" s="112"/>
      <c r="N104" s="181" t="s">
        <v>213</v>
      </c>
      <c r="O104" s="183">
        <v>3.8</v>
      </c>
      <c r="P104" s="184">
        <v>125.85000000000001</v>
      </c>
      <c r="Q104" s="185">
        <v>48.399999999999956</v>
      </c>
    </row>
    <row r="105" spans="2:17" hidden="1" x14ac:dyDescent="0.25">
      <c r="B105" s="943" t="s">
        <v>101</v>
      </c>
      <c r="C105" s="944"/>
      <c r="D105" s="944"/>
      <c r="E105" s="944"/>
      <c r="F105" s="945"/>
      <c r="G105" s="692"/>
      <c r="H105" s="193" t="s">
        <v>32</v>
      </c>
      <c r="I105" s="188">
        <f>$K$93*I99*($I$91*(1-$I$92)+1-$I$91)*(1-$J$87)</f>
        <v>0</v>
      </c>
      <c r="J105" s="55" t="e">
        <f>I105/$I$103</f>
        <v>#DIV/0!</v>
      </c>
      <c r="K105" s="193" t="s">
        <v>32</v>
      </c>
      <c r="L105" s="188">
        <f>$K$93*I99</f>
        <v>0</v>
      </c>
      <c r="M105" s="112"/>
      <c r="N105" s="181" t="s">
        <v>214</v>
      </c>
      <c r="O105" s="183">
        <v>2.8714285714285701</v>
      </c>
      <c r="P105" s="184">
        <v>129.54088669950744</v>
      </c>
      <c r="Q105" s="185">
        <v>29.48571428571432</v>
      </c>
    </row>
    <row r="106" spans="2:17" hidden="1" x14ac:dyDescent="0.25">
      <c r="B106" s="671" t="s">
        <v>26</v>
      </c>
      <c r="C106" s="674" t="e">
        <f t="shared" ref="C106" si="14">C102*C$99*$C$111</f>
        <v>#DIV/0!</v>
      </c>
      <c r="D106" s="674" t="e">
        <f t="shared" ref="D106:F108" si="15">D102*D$99*$C$111</f>
        <v>#DIV/0!</v>
      </c>
      <c r="E106" s="674" t="e">
        <f t="shared" si="15"/>
        <v>#DIV/0!</v>
      </c>
      <c r="F106" s="675" t="e">
        <f t="shared" si="15"/>
        <v>#DIV/0!</v>
      </c>
      <c r="G106" s="574"/>
      <c r="H106" s="193"/>
      <c r="I106" s="218"/>
      <c r="J106" s="101"/>
      <c r="K106" s="661"/>
      <c r="L106" s="101"/>
      <c r="M106" s="112"/>
      <c r="N106" s="181" t="s">
        <v>215</v>
      </c>
      <c r="O106" s="183">
        <v>2.1428571428571401</v>
      </c>
      <c r="P106" s="184">
        <v>149.65714285714319</v>
      </c>
      <c r="Q106" s="185">
        <v>26.057142857142839</v>
      </c>
    </row>
    <row r="107" spans="2:17" hidden="1" x14ac:dyDescent="0.25">
      <c r="B107" s="671" t="s">
        <v>30</v>
      </c>
      <c r="C107" s="674" t="e">
        <f t="shared" ref="C107" si="16">C103*C$99*$C$111</f>
        <v>#DIV/0!</v>
      </c>
      <c r="D107" s="674" t="e">
        <f t="shared" si="15"/>
        <v>#DIV/0!</v>
      </c>
      <c r="E107" s="674" t="e">
        <f t="shared" si="15"/>
        <v>#DIV/0!</v>
      </c>
      <c r="F107" s="675" t="e">
        <f t="shared" si="15"/>
        <v>#DIV/0!</v>
      </c>
      <c r="G107" s="574"/>
      <c r="I107" s="204"/>
      <c r="J107" s="204"/>
      <c r="K107" s="205"/>
      <c r="L107" s="204"/>
      <c r="M107" s="101"/>
      <c r="N107" s="181" t="s">
        <v>291</v>
      </c>
      <c r="O107" s="183">
        <v>3.55</v>
      </c>
      <c r="P107" s="184">
        <v>96.604761904761972</v>
      </c>
      <c r="Q107" s="185">
        <v>72.857142857142847</v>
      </c>
    </row>
    <row r="108" spans="2:17" ht="15.75" hidden="1" thickBot="1" x14ac:dyDescent="0.3">
      <c r="B108" s="683" t="s">
        <v>32</v>
      </c>
      <c r="C108" s="684" t="e">
        <f t="shared" ref="C108" si="17">C104*C$99*$C$111</f>
        <v>#DIV/0!</v>
      </c>
      <c r="D108" s="684" t="e">
        <f t="shared" si="15"/>
        <v>#DIV/0!</v>
      </c>
      <c r="E108" s="684" t="e">
        <f t="shared" si="15"/>
        <v>#DIV/0!</v>
      </c>
      <c r="F108" s="685" t="e">
        <f t="shared" si="15"/>
        <v>#DIV/0!</v>
      </c>
      <c r="G108" s="530"/>
      <c r="K108" s="574"/>
      <c r="N108" s="181" t="s">
        <v>292</v>
      </c>
      <c r="O108" s="183">
        <v>3.55</v>
      </c>
      <c r="P108" s="184">
        <v>96.604761904761972</v>
      </c>
      <c r="Q108" s="185">
        <v>72.857142857142847</v>
      </c>
    </row>
    <row r="109" spans="2:17" hidden="1" x14ac:dyDescent="0.25">
      <c r="B109" s="90"/>
      <c r="C109" s="90"/>
      <c r="D109" s="90"/>
      <c r="E109" s="90"/>
      <c r="F109" s="90"/>
      <c r="G109" s="90"/>
      <c r="H109" s="533" t="s">
        <v>99</v>
      </c>
      <c r="I109" s="567"/>
      <c r="J109" s="204"/>
      <c r="K109" s="206" t="s">
        <v>557</v>
      </c>
      <c r="L109" s="204"/>
      <c r="M109" s="101"/>
      <c r="N109" s="181" t="s">
        <v>216</v>
      </c>
      <c r="O109" s="183">
        <v>3.3333333333333299</v>
      </c>
      <c r="P109" s="184">
        <v>154.25714285714244</v>
      </c>
      <c r="Q109" s="185">
        <v>39.200000000000045</v>
      </c>
    </row>
    <row r="110" spans="2:17" hidden="1" x14ac:dyDescent="0.25">
      <c r="B110" s="88" t="s">
        <v>93</v>
      </c>
      <c r="C110" s="115">
        <f>D79</f>
        <v>0</v>
      </c>
      <c r="E110" s="90"/>
      <c r="F110" s="90"/>
      <c r="G110" s="90"/>
      <c r="H110" s="193" t="s">
        <v>107</v>
      </c>
      <c r="I110" s="700">
        <f>E65</f>
        <v>0</v>
      </c>
      <c r="J110" s="101" t="s">
        <v>25</v>
      </c>
      <c r="K110" s="695">
        <f>IF(ISNUMBER((3*I110/I114/(I116*TAN(RADIANS(I115))*PI()))^(1/3)),(3*I110/I114/(I116*TAN(RADIANS(I115))*PI()))^(1/3),0)</f>
        <v>0</v>
      </c>
      <c r="L110" s="550"/>
      <c r="M110" s="101"/>
      <c r="N110" s="181" t="s">
        <v>217</v>
      </c>
      <c r="O110" s="183">
        <v>3.84</v>
      </c>
      <c r="P110" s="184">
        <v>139.01333333333335</v>
      </c>
      <c r="Q110" s="185">
        <v>68.400000000000006</v>
      </c>
    </row>
    <row r="111" spans="2:17" hidden="1" x14ac:dyDescent="0.25">
      <c r="B111" s="88" t="s">
        <v>94</v>
      </c>
      <c r="C111" s="110">
        <v>2</v>
      </c>
      <c r="D111" s="88" t="s">
        <v>19</v>
      </c>
      <c r="E111" s="90"/>
      <c r="F111" s="90"/>
      <c r="G111" s="90"/>
      <c r="H111" s="193" t="s">
        <v>58</v>
      </c>
      <c r="I111" s="701">
        <f>C197</f>
        <v>1.4999999999999999E-2</v>
      </c>
      <c r="J111" s="111" t="s">
        <v>59</v>
      </c>
      <c r="K111" s="96" t="s">
        <v>558</v>
      </c>
      <c r="L111" s="204"/>
      <c r="M111" s="101"/>
      <c r="N111" s="181" t="s">
        <v>218</v>
      </c>
      <c r="O111" s="183">
        <v>2.35</v>
      </c>
      <c r="P111" s="184">
        <v>160.7499999999996</v>
      </c>
      <c r="Q111" s="185">
        <v>29.000000000000043</v>
      </c>
    </row>
    <row r="112" spans="2:17" hidden="1" x14ac:dyDescent="0.25">
      <c r="E112" s="90"/>
      <c r="F112" s="90"/>
      <c r="G112" s="90"/>
      <c r="H112" s="193" t="s">
        <v>88</v>
      </c>
      <c r="I112" s="697">
        <f>E71</f>
        <v>0</v>
      </c>
      <c r="J112" s="111" t="s">
        <v>89</v>
      </c>
      <c r="K112" s="695">
        <f>TAN(RADIANS(I115))*K110</f>
        <v>0</v>
      </c>
      <c r="L112" s="204"/>
      <c r="M112" s="101"/>
      <c r="N112" s="181" t="s">
        <v>219</v>
      </c>
      <c r="O112" s="183">
        <v>2.6285714285714299</v>
      </c>
      <c r="P112" s="184">
        <v>138.02857142857161</v>
      </c>
      <c r="Q112" s="185">
        <v>22.971428571428518</v>
      </c>
    </row>
    <row r="113" spans="1:17" hidden="1" x14ac:dyDescent="0.25">
      <c r="B113" s="89" t="s">
        <v>95</v>
      </c>
      <c r="D113" s="94"/>
      <c r="E113" s="92"/>
      <c r="F113" s="94"/>
      <c r="G113" s="90"/>
      <c r="H113" s="193" t="s">
        <v>90</v>
      </c>
      <c r="I113" s="697">
        <f>E200</f>
        <v>0.5</v>
      </c>
      <c r="J113" s="111" t="s">
        <v>91</v>
      </c>
      <c r="K113" s="206" t="s">
        <v>96</v>
      </c>
      <c r="L113" s="204"/>
      <c r="M113" s="101"/>
      <c r="N113" s="181" t="s">
        <v>220</v>
      </c>
      <c r="O113" s="183">
        <v>2.1428571428571401</v>
      </c>
      <c r="P113" s="184">
        <v>172.15714285714319</v>
      </c>
      <c r="Q113" s="185">
        <v>30.171428571428518</v>
      </c>
    </row>
    <row r="114" spans="1:17" hidden="1" x14ac:dyDescent="0.25">
      <c r="B114" s="574" t="s">
        <v>26</v>
      </c>
      <c r="C114" s="693" t="e">
        <f>C119/SUM($C$99:$F$99,$C$86:$F$86)</f>
        <v>#DIV/0!</v>
      </c>
      <c r="D114" s="96" t="e">
        <f>C114*80000</f>
        <v>#DIV/0!</v>
      </c>
      <c r="E114" s="90"/>
      <c r="F114" s="113"/>
      <c r="G114" s="97"/>
      <c r="H114" s="209" t="s">
        <v>31</v>
      </c>
      <c r="I114" s="698">
        <v>2.5</v>
      </c>
      <c r="J114" s="101" t="s">
        <v>19</v>
      </c>
      <c r="K114" s="696">
        <f>I116*PI()*K110*SQRT(K110^2+K112^2)</f>
        <v>0</v>
      </c>
      <c r="L114" s="550"/>
      <c r="M114" s="101"/>
      <c r="N114" s="181" t="s">
        <v>221</v>
      </c>
      <c r="O114" s="183">
        <v>2.9833333333333298</v>
      </c>
      <c r="P114" s="184">
        <v>116.48888888888878</v>
      </c>
      <c r="Q114" s="185">
        <v>53.799999999999955</v>
      </c>
    </row>
    <row r="115" spans="1:17" hidden="1" x14ac:dyDescent="0.25">
      <c r="B115" s="574" t="s">
        <v>30</v>
      </c>
      <c r="C115" s="693" t="e">
        <f>C120/SUM($C$99:$F$99,$C$86:$F$86)</f>
        <v>#DIV/0!</v>
      </c>
      <c r="D115" s="96"/>
      <c r="E115" s="90"/>
      <c r="F115" s="113"/>
      <c r="G115" s="97"/>
      <c r="H115" s="215" t="s">
        <v>553</v>
      </c>
      <c r="I115" s="699">
        <v>30</v>
      </c>
      <c r="K115" s="574"/>
      <c r="N115" s="181" t="s">
        <v>222</v>
      </c>
      <c r="O115" s="183">
        <v>3.3250000000000002</v>
      </c>
      <c r="P115" s="184">
        <v>132.60000000000002</v>
      </c>
      <c r="Q115" s="185">
        <v>31.799999999999997</v>
      </c>
    </row>
    <row r="116" spans="1:17" hidden="1" x14ac:dyDescent="0.25">
      <c r="A116" s="111"/>
      <c r="B116" s="574" t="s">
        <v>32</v>
      </c>
      <c r="C116" s="693" t="e">
        <f>C121/SUM($C$99:$F$99,$C$86:$F$86)</f>
        <v>#DIV/0!</v>
      </c>
      <c r="D116" s="96"/>
      <c r="E116" s="90"/>
      <c r="F116" s="113"/>
      <c r="G116" s="97"/>
      <c r="H116" s="111" t="s">
        <v>554</v>
      </c>
      <c r="I116" s="700">
        <f>E67</f>
        <v>0</v>
      </c>
      <c r="N116" s="181" t="s">
        <v>223</v>
      </c>
      <c r="O116" s="183">
        <v>3.3</v>
      </c>
      <c r="P116" s="184">
        <v>127.40000000000003</v>
      </c>
      <c r="Q116" s="185">
        <v>29.700000000000003</v>
      </c>
    </row>
    <row r="117" spans="1:17" hidden="1" x14ac:dyDescent="0.25">
      <c r="A117" s="111"/>
      <c r="C117" s="530"/>
      <c r="E117" s="90"/>
      <c r="F117" s="98"/>
      <c r="G117" s="97"/>
      <c r="H117" s="102" t="s">
        <v>100</v>
      </c>
      <c r="I117" s="661"/>
      <c r="J117" s="204"/>
      <c r="K117" s="205"/>
      <c r="L117" s="204"/>
      <c r="M117" s="101"/>
      <c r="N117" s="181" t="s">
        <v>224</v>
      </c>
      <c r="O117" s="183">
        <v>4.56666666666667</v>
      </c>
      <c r="P117" s="184">
        <v>151.69999999999959</v>
      </c>
      <c r="Q117" s="185">
        <v>83.4</v>
      </c>
    </row>
    <row r="118" spans="1:17" hidden="1" x14ac:dyDescent="0.25">
      <c r="A118" s="111"/>
      <c r="B118" s="89" t="s">
        <v>101</v>
      </c>
      <c r="C118" s="541"/>
      <c r="D118" s="88" t="s">
        <v>23</v>
      </c>
      <c r="E118" s="92"/>
      <c r="F118" s="90"/>
      <c r="G118" s="97"/>
      <c r="H118" s="101" t="s">
        <v>26</v>
      </c>
      <c r="I118" s="702">
        <f>(0.000112*1*1.7*($I$111*100/1.5)*(365*(365-$D$78)/235)*($D$77/365)*100/15)</f>
        <v>0</v>
      </c>
      <c r="J118" s="206" t="s">
        <v>61</v>
      </c>
      <c r="K118" s="212"/>
      <c r="L118" s="111"/>
      <c r="N118" s="181" t="s">
        <v>225</v>
      </c>
      <c r="O118" s="183">
        <v>4.12222222222222</v>
      </c>
      <c r="P118" s="184">
        <v>131.26666666666668</v>
      </c>
      <c r="Q118" s="185">
        <v>94.933333333333309</v>
      </c>
    </row>
    <row r="119" spans="1:17" hidden="1" x14ac:dyDescent="0.25">
      <c r="A119" s="111"/>
      <c r="B119" s="88" t="s">
        <v>26</v>
      </c>
      <c r="C119" s="542">
        <f>IFERROR(SUM(C106:F106,C93:F93),0)</f>
        <v>0</v>
      </c>
      <c r="D119" s="91" t="e">
        <f>C119/$C$119</f>
        <v>#DIV/0!</v>
      </c>
      <c r="E119" s="90"/>
      <c r="F119" s="95"/>
      <c r="G119" s="94"/>
      <c r="H119" s="101" t="s">
        <v>30</v>
      </c>
      <c r="I119" s="702">
        <f>(0.000112*0.5*1.7*($I$111*100/1.5)*(365*(365-$D$78)/235)*($D$77/365)*100/15)</f>
        <v>0</v>
      </c>
      <c r="J119" s="206" t="s">
        <v>61</v>
      </c>
      <c r="K119" s="213"/>
      <c r="L119" s="214"/>
      <c r="N119" s="181" t="s">
        <v>226</v>
      </c>
      <c r="O119" s="183">
        <v>2.8333333333333299</v>
      </c>
      <c r="P119" s="184">
        <v>116.59999999999994</v>
      </c>
      <c r="Q119" s="185">
        <v>41.799999999999955</v>
      </c>
    </row>
    <row r="120" spans="1:17" hidden="1" x14ac:dyDescent="0.25">
      <c r="A120" s="111"/>
      <c r="B120" s="88" t="s">
        <v>30</v>
      </c>
      <c r="C120" s="542">
        <f>IFERROR(SUM(C107:F107,C94:F94),0)</f>
        <v>0</v>
      </c>
      <c r="D120" s="91" t="e">
        <f>C120/$C$119</f>
        <v>#DIV/0!</v>
      </c>
      <c r="E120" s="90"/>
      <c r="F120" s="95"/>
      <c r="H120" s="101" t="s">
        <v>32</v>
      </c>
      <c r="I120" s="211">
        <f>(0.000112*0.2*1.7*($I$111*100/1.5)*(365*(365-$D$78)/235)*($D$77/365)*100/15)</f>
        <v>0</v>
      </c>
      <c r="J120" s="206" t="s">
        <v>61</v>
      </c>
      <c r="K120" s="213"/>
      <c r="L120" s="214"/>
      <c r="N120" s="181" t="s">
        <v>227</v>
      </c>
      <c r="O120" s="183">
        <v>2.9</v>
      </c>
      <c r="P120" s="184">
        <v>120.60000000000002</v>
      </c>
      <c r="Q120" s="185">
        <v>31.599999999999962</v>
      </c>
    </row>
    <row r="121" spans="1:17" hidden="1" x14ac:dyDescent="0.25">
      <c r="A121" s="83"/>
      <c r="B121" s="88" t="s">
        <v>32</v>
      </c>
      <c r="C121" s="542">
        <f>IFERROR(SUM(C108:F108,C95:F95),0)</f>
        <v>0</v>
      </c>
      <c r="D121" s="91" t="e">
        <f>C121/$C$119</f>
        <v>#DIV/0!</v>
      </c>
      <c r="E121" s="90"/>
      <c r="F121" s="95"/>
      <c r="H121" s="111"/>
      <c r="I121" s="216"/>
      <c r="J121" s="206"/>
      <c r="K121" s="213"/>
      <c r="L121" s="214"/>
      <c r="N121" s="181" t="s">
        <v>228</v>
      </c>
      <c r="O121" s="183">
        <v>2.99</v>
      </c>
      <c r="P121" s="184">
        <v>138.84</v>
      </c>
      <c r="Q121" s="185">
        <v>34.200000000000003</v>
      </c>
    </row>
    <row r="122" spans="1:17" ht="15.75" hidden="1" thickBot="1" x14ac:dyDescent="0.3">
      <c r="A122" s="83"/>
      <c r="B122" s="111"/>
      <c r="C122" s="543"/>
      <c r="D122" s="112"/>
      <c r="E122" s="111"/>
      <c r="F122" s="113"/>
      <c r="G122" s="94"/>
      <c r="H122" s="101"/>
      <c r="I122" s="101"/>
      <c r="J122" s="204"/>
      <c r="K122" s="205"/>
      <c r="L122" s="204"/>
      <c r="N122" s="181" t="s">
        <v>229</v>
      </c>
      <c r="O122" s="183">
        <v>3.81111111111111</v>
      </c>
      <c r="P122" s="184">
        <v>91.980952380952317</v>
      </c>
      <c r="Q122" s="185">
        <v>79.066666666666691</v>
      </c>
    </row>
    <row r="123" spans="1:17" ht="15.75" hidden="1" thickTop="1" x14ac:dyDescent="0.25">
      <c r="A123" s="111"/>
      <c r="B123" s="931" t="s">
        <v>371</v>
      </c>
      <c r="C123" s="932"/>
      <c r="D123" s="932"/>
      <c r="E123" s="932"/>
      <c r="F123" s="933"/>
      <c r="G123" s="94"/>
      <c r="H123" s="102" t="s">
        <v>101</v>
      </c>
      <c r="I123" s="217"/>
      <c r="J123" s="101" t="s">
        <v>23</v>
      </c>
      <c r="K123" s="210" t="s">
        <v>383</v>
      </c>
      <c r="L123" s="217"/>
      <c r="N123" s="181" t="s">
        <v>230</v>
      </c>
      <c r="O123" s="183">
        <v>3.2</v>
      </c>
      <c r="P123" s="184">
        <v>119.7285714285715</v>
      </c>
      <c r="Q123" s="185">
        <v>38.400000000000006</v>
      </c>
    </row>
    <row r="124" spans="1:17" hidden="1" x14ac:dyDescent="0.25">
      <c r="A124" s="111"/>
      <c r="B124" s="99"/>
      <c r="C124" s="102" t="s">
        <v>33</v>
      </c>
      <c r="D124" s="88" t="s">
        <v>23</v>
      </c>
      <c r="E124" s="102"/>
      <c r="F124" s="114" t="s">
        <v>36</v>
      </c>
      <c r="G124" s="94"/>
      <c r="H124" s="101" t="s">
        <v>26</v>
      </c>
      <c r="I124" s="188">
        <f>$K$114*I118*($I$112*(1-$I$113)+1-$I$112)*(1-$J$87)</f>
        <v>0</v>
      </c>
      <c r="J124" s="55" t="e">
        <f>I124/$I$124</f>
        <v>#DIV/0!</v>
      </c>
      <c r="K124" s="193" t="s">
        <v>26</v>
      </c>
      <c r="L124" s="188">
        <f>$K$114*I118</f>
        <v>0</v>
      </c>
      <c r="N124" s="181" t="s">
        <v>231</v>
      </c>
      <c r="O124" s="183">
        <v>2.8</v>
      </c>
      <c r="P124" s="184">
        <v>132.19999999999993</v>
      </c>
      <c r="Q124" s="185">
        <v>32.000000000000043</v>
      </c>
    </row>
    <row r="125" spans="1:17" hidden="1" x14ac:dyDescent="0.25">
      <c r="A125" s="111"/>
      <c r="B125" s="100" t="s">
        <v>26</v>
      </c>
      <c r="C125" s="188">
        <f>C119/1000</f>
        <v>0</v>
      </c>
      <c r="D125" s="91" t="e">
        <f>C125/$C$125</f>
        <v>#DIV/0!</v>
      </c>
      <c r="E125" s="101" t="s">
        <v>26</v>
      </c>
      <c r="F125" s="558">
        <f>IFERROR(C119/SUM($C$99:$F$99)*1000,0)</f>
        <v>0</v>
      </c>
      <c r="G125" s="94"/>
      <c r="H125" s="101" t="s">
        <v>30</v>
      </c>
      <c r="I125" s="188">
        <f>$K$114*I119*($I$112*(1-$I$113)+1-$I$112)*(1-$J$87)</f>
        <v>0</v>
      </c>
      <c r="J125" s="55" t="e">
        <f>I125/$I$124</f>
        <v>#DIV/0!</v>
      </c>
      <c r="K125" s="193" t="s">
        <v>30</v>
      </c>
      <c r="L125" s="188">
        <f>$K$114*I119</f>
        <v>0</v>
      </c>
      <c r="N125" s="181" t="s">
        <v>232</v>
      </c>
      <c r="O125" s="183">
        <v>2.9666666666666699</v>
      </c>
      <c r="P125" s="184">
        <v>127.60000000000004</v>
      </c>
      <c r="Q125" s="185">
        <v>31.400000000000038</v>
      </c>
    </row>
    <row r="126" spans="1:17" hidden="1" x14ac:dyDescent="0.25">
      <c r="B126" s="100" t="s">
        <v>30</v>
      </c>
      <c r="C126" s="188">
        <f>C120/1000</f>
        <v>0</v>
      </c>
      <c r="D126" s="91" t="e">
        <f>C126/$C$125</f>
        <v>#DIV/0!</v>
      </c>
      <c r="E126" s="101" t="s">
        <v>30</v>
      </c>
      <c r="F126" s="558">
        <f>IFERROR(C120/SUM($C$99:$F$99)*1000,0)</f>
        <v>0</v>
      </c>
      <c r="G126" s="94"/>
      <c r="H126" s="101" t="s">
        <v>32</v>
      </c>
      <c r="I126" s="188">
        <f>$K$114*I120*($I$112*(1-$I$113)+1-$I$112)*(1-$J$87)</f>
        <v>0</v>
      </c>
      <c r="J126" s="55" t="e">
        <f>I126/$I$124</f>
        <v>#DIV/0!</v>
      </c>
      <c r="K126" s="193" t="s">
        <v>32</v>
      </c>
      <c r="L126" s="188">
        <f>$K$114*I120</f>
        <v>0</v>
      </c>
      <c r="N126" s="181" t="s">
        <v>233</v>
      </c>
      <c r="O126" s="183">
        <v>2.4</v>
      </c>
      <c r="P126" s="184">
        <v>178.46594594594592</v>
      </c>
      <c r="Q126" s="185">
        <v>42</v>
      </c>
    </row>
    <row r="127" spans="1:17" hidden="1" x14ac:dyDescent="0.25">
      <c r="B127" s="100" t="s">
        <v>32</v>
      </c>
      <c r="C127" s="188">
        <f>C121/1000</f>
        <v>0</v>
      </c>
      <c r="D127" s="91" t="e">
        <f>C127/$C$125</f>
        <v>#DIV/0!</v>
      </c>
      <c r="E127" s="101" t="s">
        <v>32</v>
      </c>
      <c r="F127" s="558">
        <f>IFERROR(C121/SUM($C$99:$F$99)*1000,0)</f>
        <v>0</v>
      </c>
      <c r="G127" s="94"/>
      <c r="H127" s="101"/>
      <c r="I127" s="218"/>
      <c r="J127" s="101"/>
      <c r="K127" s="101"/>
      <c r="L127" s="101"/>
      <c r="N127" s="181" t="s">
        <v>234</v>
      </c>
      <c r="O127" s="183">
        <v>2.5</v>
      </c>
      <c r="P127" s="184">
        <v>177.92000000000004</v>
      </c>
      <c r="Q127" s="185">
        <v>37.92</v>
      </c>
    </row>
    <row r="128" spans="1:17" ht="15.75" hidden="1" thickBot="1" x14ac:dyDescent="0.3">
      <c r="B128" s="103"/>
      <c r="C128" s="104"/>
      <c r="D128" s="105"/>
      <c r="E128" s="106"/>
      <c r="F128" s="107"/>
      <c r="G128" s="94"/>
      <c r="I128" s="574"/>
      <c r="J128" s="574"/>
      <c r="K128" s="574"/>
      <c r="N128" s="181" t="s">
        <v>235</v>
      </c>
      <c r="O128" s="183">
        <v>2.62222222222222</v>
      </c>
      <c r="P128" s="184">
        <v>141.3333333333332</v>
      </c>
      <c r="Q128" s="185">
        <v>29.866666666666678</v>
      </c>
    </row>
    <row r="129" spans="8:17" ht="15.75" hidden="1" thickTop="1" x14ac:dyDescent="0.25">
      <c r="I129" s="574"/>
      <c r="J129" s="574"/>
      <c r="K129" s="574"/>
      <c r="N129" s="181" t="s">
        <v>236</v>
      </c>
      <c r="O129" s="183">
        <v>3.04</v>
      </c>
      <c r="P129" s="184">
        <v>127.62</v>
      </c>
      <c r="Q129" s="185">
        <v>33.119999999999997</v>
      </c>
    </row>
    <row r="130" spans="8:17" hidden="1" x14ac:dyDescent="0.25">
      <c r="H130" s="533" t="s">
        <v>98</v>
      </c>
      <c r="I130" s="567"/>
      <c r="J130" s="205"/>
      <c r="K130" s="206" t="s">
        <v>557</v>
      </c>
      <c r="L130" s="204"/>
      <c r="N130" s="181" t="s">
        <v>237</v>
      </c>
      <c r="O130" s="183">
        <v>3.05</v>
      </c>
      <c r="P130" s="184">
        <v>130.40000000000003</v>
      </c>
      <c r="Q130" s="185">
        <v>68.400000000000006</v>
      </c>
    </row>
    <row r="131" spans="8:17" hidden="1" x14ac:dyDescent="0.25">
      <c r="H131" s="193" t="s">
        <v>107</v>
      </c>
      <c r="I131" s="700">
        <f>F65</f>
        <v>0</v>
      </c>
      <c r="J131" s="661" t="s">
        <v>25</v>
      </c>
      <c r="K131" s="695">
        <f>IF(ISNUMBER((3*I131/I135/(I137*TAN(RADIANS(I136))*PI()))^(1/3)),(3*I131/I135/(I137*TAN(RADIANS(I136))*PI()))^(1/3),0)</f>
        <v>0</v>
      </c>
      <c r="L131" s="550"/>
      <c r="N131" s="181" t="s">
        <v>238</v>
      </c>
      <c r="O131" s="183">
        <v>3.28571428571429</v>
      </c>
      <c r="P131" s="184">
        <v>176.43673469387761</v>
      </c>
      <c r="Q131" s="185">
        <v>67.71428571428568</v>
      </c>
    </row>
    <row r="132" spans="8:17" hidden="1" x14ac:dyDescent="0.25">
      <c r="H132" s="193" t="s">
        <v>58</v>
      </c>
      <c r="I132" s="701">
        <f>C196</f>
        <v>7.0000000000000007E-2</v>
      </c>
      <c r="J132" s="213" t="s">
        <v>59</v>
      </c>
      <c r="K132" s="96" t="s">
        <v>558</v>
      </c>
      <c r="L132" s="204"/>
      <c r="N132" s="181" t="s">
        <v>239</v>
      </c>
      <c r="O132" s="183">
        <v>3.375</v>
      </c>
      <c r="P132" s="184">
        <v>123.99999999999999</v>
      </c>
      <c r="Q132" s="185">
        <v>42.3</v>
      </c>
    </row>
    <row r="133" spans="8:17" hidden="1" x14ac:dyDescent="0.25">
      <c r="H133" s="193" t="s">
        <v>88</v>
      </c>
      <c r="I133" s="697">
        <f>F71</f>
        <v>0</v>
      </c>
      <c r="J133" s="213" t="s">
        <v>89</v>
      </c>
      <c r="K133" s="695">
        <f>TAN(RADIANS(I136))*K131</f>
        <v>0</v>
      </c>
      <c r="L133" s="204"/>
      <c r="N133" s="181" t="s">
        <v>240</v>
      </c>
      <c r="O133" s="183">
        <v>2.9666666666666699</v>
      </c>
      <c r="P133" s="184">
        <v>127.80000000000001</v>
      </c>
      <c r="Q133" s="185">
        <v>28.400000000000038</v>
      </c>
    </row>
    <row r="134" spans="8:17" hidden="1" x14ac:dyDescent="0.25">
      <c r="H134" s="193" t="s">
        <v>90</v>
      </c>
      <c r="I134" s="697">
        <f>E200</f>
        <v>0.5</v>
      </c>
      <c r="J134" s="213" t="s">
        <v>91</v>
      </c>
      <c r="K134" s="206" t="s">
        <v>96</v>
      </c>
      <c r="L134" s="204"/>
      <c r="N134" s="181" t="s">
        <v>241</v>
      </c>
      <c r="O134" s="183">
        <v>2.44</v>
      </c>
      <c r="P134" s="184">
        <v>137.04</v>
      </c>
      <c r="Q134" s="185">
        <v>30.48</v>
      </c>
    </row>
    <row r="135" spans="8:17" hidden="1" x14ac:dyDescent="0.25">
      <c r="H135" s="209" t="s">
        <v>31</v>
      </c>
      <c r="I135" s="698">
        <v>2.5</v>
      </c>
      <c r="J135" s="661" t="s">
        <v>19</v>
      </c>
      <c r="K135" s="696">
        <f>I137*PI()*K131*SQRT(K131^2+K133^2)</f>
        <v>0</v>
      </c>
      <c r="L135" s="550"/>
      <c r="N135" s="181" t="s">
        <v>242</v>
      </c>
      <c r="O135" s="183">
        <v>2.46</v>
      </c>
      <c r="P135" s="184">
        <v>131.64000000000001</v>
      </c>
      <c r="Q135" s="185">
        <v>22.799999999999997</v>
      </c>
    </row>
    <row r="136" spans="8:17" hidden="1" x14ac:dyDescent="0.25">
      <c r="H136" s="215" t="s">
        <v>553</v>
      </c>
      <c r="I136" s="699">
        <v>30</v>
      </c>
      <c r="J136" s="574"/>
      <c r="K136" s="574"/>
      <c r="N136" s="181" t="s">
        <v>243</v>
      </c>
      <c r="O136" s="183">
        <v>4.2</v>
      </c>
      <c r="P136" s="184">
        <v>165.03913043478263</v>
      </c>
      <c r="Q136" s="186">
        <v>99</v>
      </c>
    </row>
    <row r="137" spans="8:17" hidden="1" x14ac:dyDescent="0.25">
      <c r="H137" s="215" t="s">
        <v>554</v>
      </c>
      <c r="I137" s="700">
        <f>F67</f>
        <v>0</v>
      </c>
      <c r="J137" s="574"/>
      <c r="K137" s="574"/>
      <c r="N137" s="181" t="s">
        <v>244</v>
      </c>
      <c r="O137" s="183">
        <v>2.9833333333333298</v>
      </c>
      <c r="P137" s="184">
        <v>124.4</v>
      </c>
      <c r="Q137" s="185">
        <v>33</v>
      </c>
    </row>
    <row r="138" spans="8:17" hidden="1" x14ac:dyDescent="0.25">
      <c r="H138" s="210" t="s">
        <v>100</v>
      </c>
      <c r="I138" s="101"/>
      <c r="J138" s="204"/>
      <c r="K138" s="205"/>
      <c r="L138" s="204"/>
      <c r="N138" s="181" t="s">
        <v>245</v>
      </c>
      <c r="O138" s="183">
        <v>4.75</v>
      </c>
      <c r="P138" s="184">
        <v>139.39999999999961</v>
      </c>
      <c r="Q138" s="185">
        <v>80.19999999999996</v>
      </c>
    </row>
    <row r="139" spans="8:17" hidden="1" x14ac:dyDescent="0.25">
      <c r="H139" s="193" t="s">
        <v>26</v>
      </c>
      <c r="I139" s="211">
        <f>(0.000112*1*1.7*($I$132*100/1.5)*(365*(365-$D$78)/235)*($D$77/365)*100/15)</f>
        <v>0</v>
      </c>
      <c r="J139" s="206" t="s">
        <v>61</v>
      </c>
      <c r="K139" s="212"/>
      <c r="L139" s="111"/>
      <c r="N139" s="181" t="s">
        <v>246</v>
      </c>
      <c r="O139" s="183">
        <v>3.28571428571429</v>
      </c>
      <c r="P139" s="184">
        <v>133.4526315789474</v>
      </c>
      <c r="Q139" s="185">
        <v>32.914285714285683</v>
      </c>
    </row>
    <row r="140" spans="8:17" hidden="1" x14ac:dyDescent="0.25">
      <c r="H140" s="193" t="s">
        <v>30</v>
      </c>
      <c r="I140" s="211">
        <f>(0.000112*0.5*1.7*($I$132*100/1.5)*(365*(365-$D$78)/235)*($D$77/365)*100/15)</f>
        <v>0</v>
      </c>
      <c r="J140" s="206" t="s">
        <v>61</v>
      </c>
      <c r="K140" s="213"/>
      <c r="L140" s="214"/>
      <c r="N140" s="181" t="s">
        <v>247</v>
      </c>
      <c r="O140" s="183">
        <v>3.08</v>
      </c>
      <c r="P140" s="184">
        <v>140.55999999999995</v>
      </c>
      <c r="Q140" s="185">
        <v>33.36</v>
      </c>
    </row>
    <row r="141" spans="8:17" ht="15" hidden="1" customHeight="1" x14ac:dyDescent="0.25">
      <c r="H141" s="193" t="s">
        <v>32</v>
      </c>
      <c r="I141" s="211">
        <f>(0.000112*0.2*1.7*($I$132*100/1.5)*(365*(365-$D$78)/235)*($D$77/365)*100/15)</f>
        <v>0</v>
      </c>
      <c r="J141" s="206" t="s">
        <v>61</v>
      </c>
      <c r="K141" s="213"/>
      <c r="L141" s="214"/>
      <c r="N141" s="181" t="s">
        <v>248</v>
      </c>
      <c r="O141" s="183">
        <v>3.5</v>
      </c>
      <c r="P141" s="184">
        <v>141.36666666666673</v>
      </c>
      <c r="Q141" s="185">
        <v>40.200000000000003</v>
      </c>
    </row>
    <row r="142" spans="8:17" ht="15" hidden="1" customHeight="1" x14ac:dyDescent="0.25">
      <c r="H142" s="215"/>
      <c r="I142" s="216"/>
      <c r="J142" s="206"/>
      <c r="K142" s="213"/>
      <c r="L142" s="214"/>
      <c r="N142" s="181" t="s">
        <v>249</v>
      </c>
      <c r="O142" s="183">
        <v>3.08</v>
      </c>
      <c r="P142" s="184">
        <v>129.42000000000002</v>
      </c>
      <c r="Q142" s="185">
        <v>35.04</v>
      </c>
    </row>
    <row r="143" spans="8:17" ht="15" hidden="1" customHeight="1" x14ac:dyDescent="0.25">
      <c r="H143" s="193"/>
      <c r="I143" s="101"/>
      <c r="J143" s="204"/>
      <c r="K143" s="205"/>
      <c r="L143" s="204"/>
      <c r="N143" s="181" t="s">
        <v>250</v>
      </c>
      <c r="O143" s="183">
        <v>3.18333333333333</v>
      </c>
      <c r="P143" s="184">
        <v>126.80000000000004</v>
      </c>
      <c r="Q143" s="185">
        <v>38.400000000000006</v>
      </c>
    </row>
    <row r="144" spans="8:17" ht="15" hidden="1" customHeight="1" x14ac:dyDescent="0.25">
      <c r="H144" s="210" t="s">
        <v>101</v>
      </c>
      <c r="I144" s="217"/>
      <c r="J144" s="101" t="s">
        <v>23</v>
      </c>
      <c r="K144" s="210" t="s">
        <v>383</v>
      </c>
      <c r="L144" s="217"/>
      <c r="N144" s="181" t="s">
        <v>251</v>
      </c>
      <c r="O144" s="183">
        <v>4.05</v>
      </c>
      <c r="P144" s="184">
        <v>124.93333333333334</v>
      </c>
      <c r="Q144" s="185">
        <v>67.800000000000011</v>
      </c>
    </row>
    <row r="145" spans="8:17" ht="15" hidden="1" customHeight="1" x14ac:dyDescent="0.25">
      <c r="H145" s="193" t="s">
        <v>26</v>
      </c>
      <c r="I145" s="188">
        <f>$K$135*I139*($I$133*(1-$I$134)+1-$I$133)*(1-$J$87)</f>
        <v>0</v>
      </c>
      <c r="J145" s="55" t="e">
        <f>I145/$I$145</f>
        <v>#DIV/0!</v>
      </c>
      <c r="K145" s="193" t="s">
        <v>26</v>
      </c>
      <c r="L145" s="188">
        <f>$K$135*I139</f>
        <v>0</v>
      </c>
      <c r="N145" s="181" t="s">
        <v>252</v>
      </c>
      <c r="O145" s="183">
        <v>3.35</v>
      </c>
      <c r="P145" s="184">
        <v>133.59999999999997</v>
      </c>
      <c r="Q145" s="185">
        <v>39.399999999999963</v>
      </c>
    </row>
    <row r="146" spans="8:17" ht="15" hidden="1" customHeight="1" x14ac:dyDescent="0.25">
      <c r="H146" s="193" t="s">
        <v>30</v>
      </c>
      <c r="I146" s="703">
        <f>$K$135*I140*($I$133*(1-$I$134)+1-$I$133)*(1-$J$87)</f>
        <v>0</v>
      </c>
      <c r="J146" s="704" t="e">
        <f>I146/$I$145</f>
        <v>#DIV/0!</v>
      </c>
      <c r="K146" s="705" t="s">
        <v>30</v>
      </c>
      <c r="L146" s="188">
        <f>$K$135*I140</f>
        <v>0</v>
      </c>
      <c r="N146" s="181" t="s">
        <v>253</v>
      </c>
      <c r="O146" s="183">
        <v>2.5</v>
      </c>
      <c r="P146" s="184">
        <v>147.66545454545459</v>
      </c>
      <c r="Q146" s="185">
        <v>29.759999999999998</v>
      </c>
    </row>
    <row r="147" spans="8:17" ht="15" hidden="1" customHeight="1" x14ac:dyDescent="0.25">
      <c r="H147" s="193" t="s">
        <v>32</v>
      </c>
      <c r="I147" s="703">
        <f>$K$135*I141*($I$133*(1-$I$134)+1-$I$133)*(1-$J$87)</f>
        <v>0</v>
      </c>
      <c r="J147" s="704" t="e">
        <f>I147/$I$145</f>
        <v>#DIV/0!</v>
      </c>
      <c r="K147" s="705" t="s">
        <v>32</v>
      </c>
      <c r="L147" s="188">
        <f>$K$135*I141</f>
        <v>0</v>
      </c>
      <c r="N147" s="181" t="s">
        <v>254</v>
      </c>
      <c r="O147" s="183">
        <v>4.16</v>
      </c>
      <c r="P147" s="184">
        <v>114.22</v>
      </c>
      <c r="Q147" s="185">
        <v>48</v>
      </c>
    </row>
    <row r="148" spans="8:17" ht="15" hidden="1" customHeight="1" x14ac:dyDescent="0.25">
      <c r="I148" s="574"/>
      <c r="J148" s="574"/>
      <c r="K148" s="574"/>
      <c r="N148" s="181" t="s">
        <v>255</v>
      </c>
      <c r="O148" s="183">
        <v>3.4142857142857101</v>
      </c>
      <c r="P148" s="184">
        <v>120.58571428571435</v>
      </c>
      <c r="Q148" s="185">
        <v>29.48571428571432</v>
      </c>
    </row>
    <row r="149" spans="8:17" ht="15" hidden="1" customHeight="1" x14ac:dyDescent="0.25">
      <c r="I149" s="574"/>
      <c r="J149" s="574"/>
      <c r="K149" s="574"/>
      <c r="N149" s="181" t="s">
        <v>256</v>
      </c>
      <c r="O149" s="183">
        <v>3.44</v>
      </c>
      <c r="P149" s="184">
        <v>152.39999999999998</v>
      </c>
      <c r="Q149" s="185">
        <v>38.64</v>
      </c>
    </row>
    <row r="150" spans="8:17" ht="15" hidden="1" customHeight="1" x14ac:dyDescent="0.25">
      <c r="I150" s="574"/>
      <c r="J150" s="574"/>
      <c r="K150" s="574"/>
      <c r="N150" s="181" t="s">
        <v>257</v>
      </c>
      <c r="O150" s="183">
        <v>4.5444444444444496</v>
      </c>
      <c r="P150" s="184">
        <v>115.60000000000002</v>
      </c>
      <c r="Q150" s="185">
        <v>66.666666666666714</v>
      </c>
    </row>
    <row r="151" spans="8:17" ht="15" hidden="1" customHeight="1" x14ac:dyDescent="0.25">
      <c r="H151" s="533" t="s">
        <v>97</v>
      </c>
      <c r="I151" s="567"/>
      <c r="J151" s="205"/>
      <c r="K151" s="206" t="s">
        <v>557</v>
      </c>
      <c r="L151" s="204"/>
      <c r="N151" s="181" t="s">
        <v>258</v>
      </c>
      <c r="O151" s="183">
        <v>3.4090909090909101</v>
      </c>
      <c r="P151" s="184">
        <v>203.92624839948817</v>
      </c>
      <c r="Q151" s="185">
        <v>72.654545454545399</v>
      </c>
    </row>
    <row r="152" spans="8:17" ht="15" hidden="1" customHeight="1" x14ac:dyDescent="0.25">
      <c r="H152" s="193" t="s">
        <v>107</v>
      </c>
      <c r="I152" s="700">
        <f>G65</f>
        <v>0</v>
      </c>
      <c r="J152" s="661" t="s">
        <v>25</v>
      </c>
      <c r="K152" s="695">
        <f>IF(ISNUMBER((3*I152/I156/(I158*TAN(RADIANS(I157))*PI()))^(1/3)),(3*I152/I156/(I158*TAN(RADIANS(I157))*PI()))^(1/3),0)</f>
        <v>0</v>
      </c>
      <c r="L152" s="550"/>
      <c r="N152" s="181" t="s">
        <v>259</v>
      </c>
      <c r="O152" s="183">
        <v>2.7</v>
      </c>
      <c r="P152" s="184">
        <v>158.39999999999961</v>
      </c>
      <c r="Q152" s="185">
        <v>54.399999999999956</v>
      </c>
    </row>
    <row r="153" spans="8:17" ht="15" hidden="1" customHeight="1" x14ac:dyDescent="0.25">
      <c r="H153" s="193" t="s">
        <v>58</v>
      </c>
      <c r="I153" s="701">
        <f>C195</f>
        <v>0.11</v>
      </c>
      <c r="J153" s="213" t="s">
        <v>59</v>
      </c>
      <c r="K153" s="96" t="s">
        <v>558</v>
      </c>
      <c r="L153" s="204"/>
      <c r="N153" s="181" t="s">
        <v>260</v>
      </c>
      <c r="O153" s="183">
        <v>2.7124999999999999</v>
      </c>
      <c r="P153" s="184">
        <v>129.05000000000001</v>
      </c>
      <c r="Q153" s="185">
        <v>55.650000000000006</v>
      </c>
    </row>
    <row r="154" spans="8:17" ht="15" hidden="1" customHeight="1" x14ac:dyDescent="0.25">
      <c r="H154" s="193" t="s">
        <v>88</v>
      </c>
      <c r="I154" s="697">
        <f>G71</f>
        <v>0</v>
      </c>
      <c r="J154" s="213" t="s">
        <v>89</v>
      </c>
      <c r="K154" s="695">
        <f>TAN(RADIANS(I157))*K152</f>
        <v>0</v>
      </c>
      <c r="L154" s="204"/>
      <c r="N154" s="181" t="s">
        <v>261</v>
      </c>
      <c r="O154" s="183">
        <v>4.2571428571428598</v>
      </c>
      <c r="P154" s="184">
        <v>100.25546218487392</v>
      </c>
      <c r="Q154" s="185">
        <v>125.31428571428521</v>
      </c>
    </row>
    <row r="155" spans="8:17" ht="15" hidden="1" customHeight="1" x14ac:dyDescent="0.25">
      <c r="H155" s="193" t="s">
        <v>90</v>
      </c>
      <c r="I155" s="697">
        <f>E200</f>
        <v>0.5</v>
      </c>
      <c r="J155" s="213" t="s">
        <v>91</v>
      </c>
      <c r="K155" s="206" t="s">
        <v>96</v>
      </c>
      <c r="L155" s="204"/>
      <c r="N155" s="181" t="s">
        <v>262</v>
      </c>
      <c r="O155" s="183">
        <v>3.2166666666666699</v>
      </c>
      <c r="P155" s="184">
        <v>113.75000000000003</v>
      </c>
      <c r="Q155" s="185">
        <v>41.19999999999996</v>
      </c>
    </row>
    <row r="156" spans="8:17" ht="15" hidden="1" customHeight="1" x14ac:dyDescent="0.25">
      <c r="H156" s="209" t="s">
        <v>31</v>
      </c>
      <c r="I156" s="698">
        <v>2.5</v>
      </c>
      <c r="J156" s="661" t="s">
        <v>19</v>
      </c>
      <c r="K156" s="696">
        <f>I158*PI()*K152*SQRT(K152^2+K154^2)</f>
        <v>0</v>
      </c>
      <c r="L156" s="550"/>
      <c r="N156" s="181" t="s">
        <v>263</v>
      </c>
      <c r="O156" s="183">
        <v>3</v>
      </c>
      <c r="P156" s="184">
        <v>127.29999999999997</v>
      </c>
      <c r="Q156" s="185">
        <v>51.84</v>
      </c>
    </row>
    <row r="157" spans="8:17" ht="15" hidden="1" customHeight="1" x14ac:dyDescent="0.25">
      <c r="H157" s="215" t="s">
        <v>553</v>
      </c>
      <c r="I157" s="699">
        <v>30</v>
      </c>
      <c r="J157" s="574"/>
      <c r="K157" s="574"/>
      <c r="N157" s="181" t="s">
        <v>264</v>
      </c>
      <c r="O157" s="183">
        <v>3.1166666666666698</v>
      </c>
      <c r="P157" s="184">
        <v>129.69999999999996</v>
      </c>
      <c r="Q157" s="185">
        <v>57</v>
      </c>
    </row>
    <row r="158" spans="8:17" ht="15" hidden="1" customHeight="1" x14ac:dyDescent="0.25">
      <c r="H158" s="215" t="s">
        <v>554</v>
      </c>
      <c r="I158" s="700">
        <f>G67</f>
        <v>0</v>
      </c>
      <c r="J158" s="574"/>
      <c r="K158" s="574"/>
      <c r="N158" s="181" t="s">
        <v>265</v>
      </c>
      <c r="O158" s="183">
        <v>2.7666666666666702</v>
      </c>
      <c r="P158" s="184">
        <v>150.58181818181856</v>
      </c>
      <c r="Q158" s="185">
        <v>41.600000000000037</v>
      </c>
    </row>
    <row r="159" spans="8:17" ht="15" hidden="1" customHeight="1" x14ac:dyDescent="0.25">
      <c r="H159" s="210" t="s">
        <v>100</v>
      </c>
      <c r="I159" s="101"/>
      <c r="J159" s="204"/>
      <c r="K159" s="205"/>
      <c r="L159" s="204"/>
      <c r="N159" s="181" t="s">
        <v>266</v>
      </c>
      <c r="O159" s="183">
        <v>2.75</v>
      </c>
      <c r="P159" s="184">
        <v>142.06666666666632</v>
      </c>
      <c r="Q159" s="185">
        <v>33.399999999999963</v>
      </c>
    </row>
    <row r="160" spans="8:17" ht="15" hidden="1" customHeight="1" x14ac:dyDescent="0.25">
      <c r="H160" s="193" t="s">
        <v>26</v>
      </c>
      <c r="I160" s="211">
        <f>(0.000112*1*1.7*($I$153*100/1.5)*(365*(365-$D$78)/235)*($D$77/365)*100/15)*(1-$J$87)</f>
        <v>0</v>
      </c>
      <c r="J160" s="206" t="s">
        <v>61</v>
      </c>
      <c r="K160" s="212"/>
      <c r="L160" s="111"/>
      <c r="N160" s="181" t="s">
        <v>267</v>
      </c>
      <c r="O160" s="183">
        <v>3.2250000000000001</v>
      </c>
      <c r="P160" s="184">
        <v>145.16470588235291</v>
      </c>
      <c r="Q160" s="185">
        <v>34.200000000000003</v>
      </c>
    </row>
    <row r="161" spans="8:17" ht="15" hidden="1" customHeight="1" x14ac:dyDescent="0.25">
      <c r="H161" s="193" t="s">
        <v>30</v>
      </c>
      <c r="I161" s="211">
        <f>(0.000112*0.5*1.7*($I$153*100/1.5)*(365*(365-$D$78)/235)*($D$77/365)*100/15)*(1-$J$87)</f>
        <v>0</v>
      </c>
      <c r="J161" s="206" t="s">
        <v>61</v>
      </c>
      <c r="K161" s="213"/>
      <c r="L161" s="214"/>
      <c r="N161" s="181" t="s">
        <v>268</v>
      </c>
      <c r="O161" s="183">
        <v>2.8</v>
      </c>
      <c r="P161" s="184">
        <v>171.66557377049173</v>
      </c>
      <c r="Q161" s="185">
        <v>58.800000000000004</v>
      </c>
    </row>
    <row r="162" spans="8:17" ht="15" hidden="1" customHeight="1" x14ac:dyDescent="0.25">
      <c r="H162" s="193" t="s">
        <v>32</v>
      </c>
      <c r="I162" s="211">
        <f>(0.000112*0.2*1.7*($I$153*100/1.5)*(365*(365-$D$78)/235)*($D$77/365)*100/15)*(1-$J$87)</f>
        <v>0</v>
      </c>
      <c r="J162" s="206" t="s">
        <v>61</v>
      </c>
      <c r="K162" s="213"/>
      <c r="L162" s="214"/>
      <c r="N162" s="181" t="s">
        <v>269</v>
      </c>
      <c r="O162" s="183">
        <v>2.0333333333333301</v>
      </c>
      <c r="P162" s="184">
        <v>166.53947368421052</v>
      </c>
      <c r="Q162" s="185">
        <v>25.733333333333277</v>
      </c>
    </row>
    <row r="163" spans="8:17" ht="15" hidden="1" customHeight="1" x14ac:dyDescent="0.25">
      <c r="H163" s="215"/>
      <c r="I163" s="216"/>
      <c r="J163" s="206"/>
      <c r="K163" s="213"/>
      <c r="L163" s="214"/>
      <c r="N163" s="181" t="s">
        <v>270</v>
      </c>
      <c r="O163" s="183">
        <v>2.7</v>
      </c>
      <c r="P163" s="184">
        <v>119.21538461538456</v>
      </c>
      <c r="Q163" s="185">
        <v>25.200000000000003</v>
      </c>
    </row>
    <row r="164" spans="8:17" ht="15" hidden="1" customHeight="1" x14ac:dyDescent="0.25">
      <c r="H164" s="193"/>
      <c r="I164" s="101"/>
      <c r="J164" s="204"/>
      <c r="K164" s="205"/>
      <c r="L164" s="204"/>
      <c r="N164" s="181" t="s">
        <v>271</v>
      </c>
      <c r="O164" s="183">
        <v>4.0750000000000002</v>
      </c>
      <c r="P164" s="184">
        <v>129.25</v>
      </c>
      <c r="Q164" s="185">
        <v>59.699999999999996</v>
      </c>
    </row>
    <row r="165" spans="8:17" ht="15" hidden="1" customHeight="1" x14ac:dyDescent="0.25">
      <c r="H165" s="210" t="s">
        <v>101</v>
      </c>
      <c r="I165" s="217"/>
      <c r="J165" s="101" t="s">
        <v>23</v>
      </c>
      <c r="K165" s="210" t="s">
        <v>383</v>
      </c>
      <c r="L165" s="217"/>
      <c r="N165" s="181" t="s">
        <v>272</v>
      </c>
      <c r="O165" s="183">
        <v>3.05714285714286</v>
      </c>
      <c r="P165" s="184">
        <v>137.4666666666667</v>
      </c>
      <c r="Q165" s="185">
        <v>30.171428571428518</v>
      </c>
    </row>
    <row r="166" spans="8:17" ht="15" hidden="1" customHeight="1" x14ac:dyDescent="0.25">
      <c r="H166" s="193" t="s">
        <v>26</v>
      </c>
      <c r="I166" s="188">
        <f>$K$156*I160*($I$154*(1-$I$155)+1-$I$154)*(1-$J$87)</f>
        <v>0</v>
      </c>
      <c r="J166" s="55" t="e">
        <f>I166/$I$166</f>
        <v>#DIV/0!</v>
      </c>
      <c r="K166" s="193" t="s">
        <v>26</v>
      </c>
      <c r="L166" s="188">
        <f>$K$156*I160</f>
        <v>0</v>
      </c>
      <c r="N166" s="181" t="s">
        <v>273</v>
      </c>
      <c r="O166" s="183">
        <v>2.94</v>
      </c>
      <c r="P166" s="184">
        <v>121.62</v>
      </c>
      <c r="Q166" s="185">
        <v>24.96</v>
      </c>
    </row>
    <row r="167" spans="8:17" hidden="1" x14ac:dyDescent="0.25">
      <c r="H167" s="193" t="s">
        <v>30</v>
      </c>
      <c r="I167" s="188">
        <f>$K$156*I161*($I$154*(1-$I$155)+1-$I$154)*(1-$J$87)</f>
        <v>0</v>
      </c>
      <c r="J167" s="55" t="e">
        <f>I167/$I$166</f>
        <v>#DIV/0!</v>
      </c>
      <c r="K167" s="193" t="s">
        <v>30</v>
      </c>
      <c r="L167" s="188">
        <f>$K$156*I161</f>
        <v>0</v>
      </c>
      <c r="N167" s="181" t="s">
        <v>274</v>
      </c>
      <c r="O167" s="183">
        <v>3.44</v>
      </c>
      <c r="P167" s="184">
        <v>142.35000000000002</v>
      </c>
      <c r="Q167" s="185">
        <v>41.76</v>
      </c>
    </row>
    <row r="168" spans="8:17" hidden="1" x14ac:dyDescent="0.25">
      <c r="H168" s="193" t="s">
        <v>32</v>
      </c>
      <c r="I168" s="188">
        <f>$K$156*I162*($I$154*(1-$I$155)+1-$I$154)*(1-$J$87)</f>
        <v>0</v>
      </c>
      <c r="J168" s="55" t="e">
        <f>I168/$I$166</f>
        <v>#DIV/0!</v>
      </c>
      <c r="K168" s="193" t="s">
        <v>32</v>
      </c>
      <c r="L168" s="188">
        <f>$K$156*I162</f>
        <v>0</v>
      </c>
      <c r="N168" s="181" t="s">
        <v>275</v>
      </c>
      <c r="O168" s="183">
        <v>3.9666666666666699</v>
      </c>
      <c r="P168" s="184">
        <v>118.89999999999998</v>
      </c>
      <c r="Q168" s="185">
        <v>39.399999999999963</v>
      </c>
    </row>
    <row r="169" spans="8:17" hidden="1" x14ac:dyDescent="0.25">
      <c r="N169" s="181" t="s">
        <v>276</v>
      </c>
      <c r="O169" s="183">
        <v>3.3428571428571399</v>
      </c>
      <c r="P169" s="184">
        <v>121.45714285714284</v>
      </c>
      <c r="Q169" s="185">
        <v>64.457142857142841</v>
      </c>
    </row>
    <row r="170" spans="8:17" hidden="1" x14ac:dyDescent="0.25">
      <c r="N170" s="181" t="s">
        <v>277</v>
      </c>
      <c r="O170" s="183">
        <v>2.58</v>
      </c>
      <c r="P170" s="184">
        <v>114.15999999999998</v>
      </c>
      <c r="Q170" s="185">
        <v>30.240000000000002</v>
      </c>
    </row>
    <row r="171" spans="8:17" hidden="1" x14ac:dyDescent="0.25">
      <c r="N171" s="181" t="s">
        <v>278</v>
      </c>
      <c r="O171" s="183">
        <v>3.18461538461538</v>
      </c>
      <c r="P171" s="184">
        <v>96.61258741258743</v>
      </c>
      <c r="Q171" s="185">
        <v>67.199999999999989</v>
      </c>
    </row>
    <row r="172" spans="8:17" hidden="1" x14ac:dyDescent="0.25">
      <c r="N172" s="181" t="s">
        <v>279</v>
      </c>
      <c r="O172" s="183">
        <v>3.05714285714286</v>
      </c>
      <c r="P172" s="184">
        <v>92.23636363636362</v>
      </c>
      <c r="Q172" s="185">
        <v>73.028571428571354</v>
      </c>
    </row>
    <row r="173" spans="8:17" ht="15.75" hidden="1" thickBot="1" x14ac:dyDescent="0.3">
      <c r="N173" s="181" t="s">
        <v>280</v>
      </c>
      <c r="O173" s="183">
        <v>3.8857142857142901</v>
      </c>
      <c r="P173" s="184">
        <v>121.10000000000002</v>
      </c>
      <c r="Q173" s="185">
        <v>53.828571428571479</v>
      </c>
    </row>
    <row r="174" spans="8:17" ht="15.75" hidden="1" thickTop="1" x14ac:dyDescent="0.25">
      <c r="H174" s="534" t="s">
        <v>446</v>
      </c>
      <c r="I174" s="531"/>
      <c r="J174" s="531"/>
      <c r="K174" s="531"/>
      <c r="L174" s="532"/>
      <c r="N174" s="181" t="s">
        <v>281</v>
      </c>
      <c r="O174" s="183">
        <v>3.06</v>
      </c>
      <c r="P174" s="184">
        <v>136.41</v>
      </c>
      <c r="Q174" s="185">
        <v>33.599999999999994</v>
      </c>
    </row>
    <row r="175" spans="8:17" hidden="1" x14ac:dyDescent="0.25">
      <c r="H175" s="210"/>
      <c r="I175" s="102" t="s">
        <v>33</v>
      </c>
      <c r="J175" s="101" t="s">
        <v>23</v>
      </c>
      <c r="K175" s="102"/>
      <c r="L175" s="114" t="s">
        <v>305</v>
      </c>
      <c r="N175" s="181" t="s">
        <v>282</v>
      </c>
      <c r="O175" s="183">
        <v>2.78</v>
      </c>
      <c r="P175" s="184">
        <v>145.40307692307695</v>
      </c>
      <c r="Q175" s="185">
        <v>28.56</v>
      </c>
    </row>
    <row r="176" spans="8:17" hidden="1" x14ac:dyDescent="0.25">
      <c r="H176" s="193" t="s">
        <v>26</v>
      </c>
      <c r="I176" s="116">
        <f>IF(ISERROR(SUM(I103,I124,I145,I166)/1000),0,SUM(I103,I124,I145,I166)/1000)</f>
        <v>0</v>
      </c>
      <c r="J176" s="55" t="e">
        <f>I176/$I$176</f>
        <v>#DIV/0!</v>
      </c>
      <c r="K176" s="101" t="s">
        <v>26</v>
      </c>
      <c r="L176" s="108" t="str">
        <f>IF(ISERROR(I176*1000000/SUM($D$65:$G$65)),"-",(I176*1000000/SUM($D$65:$G$65)))</f>
        <v>-</v>
      </c>
      <c r="N176" s="181" t="s">
        <v>283</v>
      </c>
      <c r="O176" s="183">
        <v>2.6625000000000001</v>
      </c>
      <c r="P176" s="184">
        <v>143.10000000000002</v>
      </c>
      <c r="Q176" s="185">
        <v>37.950000000000003</v>
      </c>
    </row>
    <row r="177" spans="2:17" hidden="1" x14ac:dyDescent="0.25">
      <c r="H177" s="193" t="s">
        <v>30</v>
      </c>
      <c r="I177" s="116">
        <f>IF(ISERROR(SUM(I104,I125,I146,I167)/1000),0,SUM(I104,I125,I146,I167)/1000)</f>
        <v>0</v>
      </c>
      <c r="J177" s="55" t="e">
        <f>I177/$I$176</f>
        <v>#DIV/0!</v>
      </c>
      <c r="K177" s="101" t="s">
        <v>30</v>
      </c>
      <c r="L177" s="246" t="str">
        <f>IF(ISERROR(I177*1000000/SUM($D$65:$G$65)),"-",(I177*1000000/SUM($D$65:$G$65)))</f>
        <v>-</v>
      </c>
      <c r="N177" s="181" t="s">
        <v>284</v>
      </c>
      <c r="O177" s="183">
        <v>2.7166666666666699</v>
      </c>
      <c r="P177" s="184">
        <v>147.95000000000039</v>
      </c>
      <c r="Q177" s="185">
        <v>25.200000000000003</v>
      </c>
    </row>
    <row r="178" spans="2:17" hidden="1" x14ac:dyDescent="0.25">
      <c r="H178" s="193" t="s">
        <v>32</v>
      </c>
      <c r="I178" s="116">
        <f>IF(ISERROR(SUM(I105,I126,I147,I168)/1000),0,SUM(I105,I126,I147,I168)/1000)</f>
        <v>0</v>
      </c>
      <c r="J178" s="55" t="e">
        <f>I178/$I$176</f>
        <v>#DIV/0!</v>
      </c>
      <c r="K178" s="101" t="s">
        <v>32</v>
      </c>
      <c r="L178" s="108" t="str">
        <f>IF(ISERROR(I178*1000000/SUM($D$65:$G$65)),"-",(I178*1000000/SUM($D$65:$G$65)))</f>
        <v>-</v>
      </c>
      <c r="N178" s="181" t="s">
        <v>285</v>
      </c>
      <c r="O178" s="183">
        <v>2.8</v>
      </c>
      <c r="P178" s="184">
        <v>166.9679999999999</v>
      </c>
      <c r="Q178" s="185">
        <v>45.599999999999994</v>
      </c>
    </row>
    <row r="179" spans="2:17" ht="15.75" hidden="1" thickBot="1" x14ac:dyDescent="0.3">
      <c r="H179" s="219"/>
      <c r="I179" s="104"/>
      <c r="J179" s="105"/>
      <c r="K179" s="106"/>
      <c r="L179" s="107"/>
      <c r="N179" s="181" t="s">
        <v>286</v>
      </c>
      <c r="O179" s="183">
        <v>2.6666666666666701</v>
      </c>
      <c r="P179" s="184">
        <v>134.19071428571431</v>
      </c>
      <c r="Q179" s="185">
        <v>20.799999999999962</v>
      </c>
    </row>
    <row r="180" spans="2:17" ht="15.75" hidden="1" thickTop="1" x14ac:dyDescent="0.25">
      <c r="N180" s="181" t="s">
        <v>287</v>
      </c>
      <c r="O180" s="183">
        <v>2.8200000000000003</v>
      </c>
      <c r="P180" s="184">
        <v>120.41769230769229</v>
      </c>
      <c r="Q180" s="185">
        <v>25.08</v>
      </c>
    </row>
    <row r="181" spans="2:17" hidden="1" x14ac:dyDescent="0.25">
      <c r="N181" s="181" t="s">
        <v>288</v>
      </c>
      <c r="O181" s="183">
        <v>3.1523809523809532</v>
      </c>
      <c r="P181" s="184">
        <v>126.79401709401709</v>
      </c>
      <c r="Q181" s="185">
        <v>32.957142857142841</v>
      </c>
    </row>
    <row r="182" spans="2:17" ht="15.75" hidden="1" x14ac:dyDescent="0.25">
      <c r="B182" s="769" t="s">
        <v>74</v>
      </c>
      <c r="C182" s="769" t="s">
        <v>39</v>
      </c>
      <c r="H182" s="210" t="s">
        <v>384</v>
      </c>
      <c r="N182" s="181" t="s">
        <v>289</v>
      </c>
      <c r="O182" s="183">
        <v>2.8785714285714299</v>
      </c>
      <c r="P182" s="184">
        <v>128.34102564102565</v>
      </c>
      <c r="Q182" s="185">
        <v>27.685714285714262</v>
      </c>
    </row>
    <row r="183" spans="2:17" ht="15.75" hidden="1" x14ac:dyDescent="0.25">
      <c r="B183" s="767" t="s">
        <v>75</v>
      </c>
      <c r="C183" s="767" t="s">
        <v>39</v>
      </c>
      <c r="H183" s="193" t="s">
        <v>26</v>
      </c>
      <c r="I183" s="116">
        <f>IF(ISERROR(SUM(L103,L124,L145,L166)/1000),0,SUM(L103,L124,L145,L166)/1000)</f>
        <v>0</v>
      </c>
      <c r="N183" s="181" t="s">
        <v>290</v>
      </c>
      <c r="O183" s="183">
        <v>3.7</v>
      </c>
      <c r="P183" s="184">
        <v>125.26857142857141</v>
      </c>
      <c r="Q183" s="185">
        <v>43.5</v>
      </c>
    </row>
    <row r="184" spans="2:17" ht="15.75" hidden="1" x14ac:dyDescent="0.25">
      <c r="B184" s="767" t="s">
        <v>76</v>
      </c>
      <c r="C184" s="767"/>
      <c r="H184" s="193" t="s">
        <v>30</v>
      </c>
      <c r="I184" s="116">
        <f>IF(ISERROR(SUM(L104,L125,L146,L167)/1000),0,SUM(L104,L125,L146,L167)/1000)</f>
        <v>0</v>
      </c>
    </row>
    <row r="185" spans="2:17" ht="15.75" hidden="1" x14ac:dyDescent="0.25">
      <c r="B185" s="767" t="s">
        <v>140</v>
      </c>
      <c r="C185" s="767" t="s">
        <v>39</v>
      </c>
      <c r="H185" s="193" t="s">
        <v>32</v>
      </c>
      <c r="I185" s="116">
        <f>IF(ISERROR(SUM(L105,L126,L147,L168)/1000),0,SUM(L105,L126,L147,L168)/1000)</f>
        <v>0</v>
      </c>
    </row>
    <row r="186" spans="2:17" ht="15.75" hidden="1" x14ac:dyDescent="0.25">
      <c r="B186" s="767" t="s">
        <v>77</v>
      </c>
      <c r="C186" s="767" t="s">
        <v>39</v>
      </c>
    </row>
    <row r="187" spans="2:17" ht="15.75" hidden="1" x14ac:dyDescent="0.25">
      <c r="B187" s="767" t="s">
        <v>84</v>
      </c>
      <c r="C187" s="767" t="s">
        <v>39</v>
      </c>
    </row>
    <row r="188" spans="2:17" ht="15.75" hidden="1" x14ac:dyDescent="0.25">
      <c r="B188" s="767" t="s">
        <v>78</v>
      </c>
      <c r="C188" s="767" t="s">
        <v>39</v>
      </c>
      <c r="I188" s="574"/>
      <c r="J188" s="574"/>
      <c r="K188" s="574"/>
    </row>
    <row r="189" spans="2:17" ht="15.75" hidden="1" x14ac:dyDescent="0.25">
      <c r="B189" s="767" t="s">
        <v>79</v>
      </c>
      <c r="C189" s="767" t="s">
        <v>39</v>
      </c>
      <c r="H189" s="726" t="s">
        <v>445</v>
      </c>
      <c r="I189" s="706"/>
      <c r="J189" s="706"/>
      <c r="K189" s="706"/>
      <c r="L189" s="535"/>
      <c r="M189" s="535"/>
    </row>
    <row r="190" spans="2:17" ht="15.75" hidden="1" x14ac:dyDescent="0.25">
      <c r="B190" s="767" t="s">
        <v>80</v>
      </c>
      <c r="C190" s="767" t="s">
        <v>39</v>
      </c>
      <c r="H190" s="203"/>
      <c r="I190" s="205"/>
      <c r="J190" s="205"/>
      <c r="K190" s="205"/>
      <c r="L190" s="204"/>
      <c r="M190" s="204"/>
    </row>
    <row r="191" spans="2:17" ht="15.75" hidden="1" x14ac:dyDescent="0.25">
      <c r="B191" s="768" t="s">
        <v>85</v>
      </c>
      <c r="C191" s="768" t="s">
        <v>39</v>
      </c>
      <c r="H191" s="533" t="s">
        <v>413</v>
      </c>
      <c r="I191" s="567"/>
      <c r="J191" s="205"/>
      <c r="K191" s="206" t="s">
        <v>557</v>
      </c>
      <c r="L191" s="204"/>
      <c r="M191" s="204"/>
    </row>
    <row r="192" spans="2:17" hidden="1" x14ac:dyDescent="0.25">
      <c r="B192" s="93"/>
      <c r="C192" s="93"/>
      <c r="H192" s="193" t="s">
        <v>107</v>
      </c>
      <c r="I192" s="700">
        <f>D68</f>
        <v>0</v>
      </c>
      <c r="J192" s="661" t="s">
        <v>25</v>
      </c>
      <c r="K192" s="695">
        <f>IF(ISNUMBER((3*I192/I196/(I198*TAN(RADIANS(I197))*PI()))^(1/3)),(3*I192/I196/(I198*TAN(RADIANS(I197))*PI()))^(1/3),0)</f>
        <v>0</v>
      </c>
      <c r="L192" s="550"/>
      <c r="M192" s="204"/>
    </row>
    <row r="193" spans="2:13" hidden="1" x14ac:dyDescent="0.25">
      <c r="B193" s="93"/>
      <c r="C193" s="93"/>
      <c r="H193" s="193" t="s">
        <v>58</v>
      </c>
      <c r="I193" s="701">
        <f>C194</f>
        <v>0</v>
      </c>
      <c r="J193" s="213" t="s">
        <v>59</v>
      </c>
      <c r="K193" s="96" t="s">
        <v>558</v>
      </c>
      <c r="L193" s="204"/>
      <c r="M193" s="204"/>
    </row>
    <row r="194" spans="2:13" ht="19.5" hidden="1" customHeight="1" x14ac:dyDescent="0.25">
      <c r="B194" s="117" t="s">
        <v>104</v>
      </c>
      <c r="C194" s="123">
        <v>0</v>
      </c>
      <c r="H194" s="193" t="s">
        <v>88</v>
      </c>
      <c r="I194" s="697">
        <f>D71</f>
        <v>0</v>
      </c>
      <c r="J194" s="213" t="s">
        <v>89</v>
      </c>
      <c r="K194" s="695">
        <f>TAN(RADIANS(I197))*K192</f>
        <v>0</v>
      </c>
      <c r="L194" s="204"/>
      <c r="M194" s="204"/>
    </row>
    <row r="195" spans="2:13" ht="19.5" hidden="1" customHeight="1" x14ac:dyDescent="0.25">
      <c r="B195" s="117" t="s">
        <v>97</v>
      </c>
      <c r="C195" s="123">
        <v>0.11</v>
      </c>
      <c r="H195" s="193" t="s">
        <v>90</v>
      </c>
      <c r="I195" s="697">
        <f>$E$200</f>
        <v>0.5</v>
      </c>
      <c r="J195" s="213" t="s">
        <v>91</v>
      </c>
      <c r="K195" s="206" t="s">
        <v>96</v>
      </c>
      <c r="L195" s="204"/>
      <c r="M195" s="204"/>
    </row>
    <row r="196" spans="2:13" ht="19.5" hidden="1" customHeight="1" x14ac:dyDescent="0.25">
      <c r="B196" s="117" t="s">
        <v>98</v>
      </c>
      <c r="C196" s="123">
        <v>7.0000000000000007E-2</v>
      </c>
      <c r="E196" s="124" t="s">
        <v>103</v>
      </c>
      <c r="H196" s="209" t="s">
        <v>31</v>
      </c>
      <c r="I196" s="698">
        <v>2.5</v>
      </c>
      <c r="J196" s="661" t="s">
        <v>19</v>
      </c>
      <c r="K196" s="696">
        <f>I198*PI()*K192*SQRT(K192^2+K194^2)</f>
        <v>0</v>
      </c>
      <c r="L196" s="550"/>
      <c r="M196" s="111"/>
    </row>
    <row r="197" spans="2:13" ht="19.5" hidden="1" customHeight="1" x14ac:dyDescent="0.25">
      <c r="B197" s="117" t="s">
        <v>99</v>
      </c>
      <c r="C197" s="123">
        <v>1.4999999999999999E-2</v>
      </c>
      <c r="E197" s="220">
        <f>D72</f>
        <v>2</v>
      </c>
      <c r="H197" s="215" t="s">
        <v>553</v>
      </c>
      <c r="I197" s="699">
        <v>30</v>
      </c>
      <c r="J197" s="574"/>
      <c r="K197" s="574"/>
    </row>
    <row r="198" spans="2:13" hidden="1" x14ac:dyDescent="0.25">
      <c r="B198" s="120" t="s">
        <v>103</v>
      </c>
      <c r="C198" s="125"/>
      <c r="D198" s="119" t="s">
        <v>102</v>
      </c>
      <c r="E198" s="120" t="s">
        <v>105</v>
      </c>
      <c r="H198" s="215" t="s">
        <v>554</v>
      </c>
      <c r="I198" s="700">
        <f>D70</f>
        <v>0</v>
      </c>
      <c r="J198" s="574"/>
      <c r="K198" s="574"/>
    </row>
    <row r="199" spans="2:13" hidden="1" x14ac:dyDescent="0.25">
      <c r="B199" s="120">
        <v>0</v>
      </c>
      <c r="C199" s="120" t="str">
        <f>IF(OR(E$197=B199,AND($E$197&lt;B200,$E$197&gt;B199)),"OK","NON")</f>
        <v>NON</v>
      </c>
      <c r="D199" s="127">
        <v>0</v>
      </c>
      <c r="E199" s="120"/>
      <c r="H199" s="210" t="s">
        <v>100</v>
      </c>
      <c r="I199" s="101"/>
      <c r="J199" s="204"/>
      <c r="K199" s="205"/>
      <c r="L199" s="204"/>
      <c r="M199" s="204"/>
    </row>
    <row r="200" spans="2:13" hidden="1" x14ac:dyDescent="0.25">
      <c r="B200" s="120">
        <v>1.591</v>
      </c>
      <c r="C200" s="120" t="str">
        <f t="shared" ref="C200:C206" si="18">IF(OR(E$197=B200,AND($E$197&lt;B201,$E$197&gt;B200)),"OK","NON")</f>
        <v>OK</v>
      </c>
      <c r="D200" s="121">
        <v>0.5</v>
      </c>
      <c r="E200" s="126">
        <f>VLOOKUP("OK",$C$199:$D$206,2,FALSE)</f>
        <v>0.5</v>
      </c>
      <c r="H200" s="193" t="s">
        <v>26</v>
      </c>
      <c r="I200" s="211">
        <f>0.000112*1*1.7*($I$193*100/1.5)*(365*(365-$D$78)/235)*($D$77/365)*100/15</f>
        <v>0</v>
      </c>
      <c r="J200" s="206" t="s">
        <v>61</v>
      </c>
      <c r="K200" s="212"/>
      <c r="L200" s="111"/>
      <c r="M200" s="111"/>
    </row>
    <row r="201" spans="2:13" hidden="1" x14ac:dyDescent="0.25">
      <c r="B201" s="122">
        <v>2.2320000000000002</v>
      </c>
      <c r="C201" s="120" t="str">
        <f t="shared" si="18"/>
        <v>NON</v>
      </c>
      <c r="D201" s="121">
        <v>0.6</v>
      </c>
      <c r="E201" s="125"/>
      <c r="H201" s="193" t="s">
        <v>30</v>
      </c>
      <c r="I201" s="211">
        <f>0.000112*0.5*1.7*($I$193*100/1.5)*(365*(365-$D$78)/235)*($D$77/365)*100/15</f>
        <v>0</v>
      </c>
      <c r="J201" s="206" t="s">
        <v>61</v>
      </c>
      <c r="K201" s="213"/>
      <c r="L201" s="214"/>
      <c r="M201" s="112"/>
    </row>
    <row r="202" spans="2:13" hidden="1" x14ac:dyDescent="0.25">
      <c r="B202" s="122">
        <v>3.1720000000000002</v>
      </c>
      <c r="C202" s="120" t="str">
        <f t="shared" si="18"/>
        <v>NON</v>
      </c>
      <c r="D202" s="121">
        <v>0.7</v>
      </c>
      <c r="E202" s="125"/>
      <c r="H202" s="193" t="s">
        <v>32</v>
      </c>
      <c r="I202" s="211">
        <f>0.000112*0.2*1.7*($I$193*100/1.5)*(365*(365-$D$78)/235)*($D$77/365)*100/15</f>
        <v>0</v>
      </c>
      <c r="J202" s="206" t="s">
        <v>61</v>
      </c>
      <c r="K202" s="213"/>
      <c r="L202" s="214"/>
      <c r="M202" s="112"/>
    </row>
    <row r="203" spans="2:13" ht="18.75" hidden="1" customHeight="1" x14ac:dyDescent="0.25">
      <c r="B203" s="122">
        <v>4.7480000000000002</v>
      </c>
      <c r="C203" s="120" t="str">
        <f t="shared" si="18"/>
        <v>NON</v>
      </c>
      <c r="D203" s="121">
        <v>0.8</v>
      </c>
      <c r="E203" s="125"/>
      <c r="H203" s="215"/>
      <c r="I203" s="216"/>
      <c r="J203" s="206"/>
      <c r="K203" s="213"/>
      <c r="L203" s="214"/>
      <c r="M203" s="112"/>
    </row>
    <row r="204" spans="2:13" hidden="1" x14ac:dyDescent="0.25">
      <c r="B204" s="122">
        <v>6.077</v>
      </c>
      <c r="C204" s="120" t="str">
        <f t="shared" si="18"/>
        <v>NON</v>
      </c>
      <c r="D204" s="121">
        <v>0.85</v>
      </c>
      <c r="E204" s="125"/>
      <c r="H204" s="193"/>
      <c r="I204" s="101"/>
      <c r="J204" s="204"/>
      <c r="K204" s="205"/>
      <c r="L204" s="204"/>
      <c r="M204" s="112"/>
    </row>
    <row r="205" spans="2:13" hidden="1" x14ac:dyDescent="0.25">
      <c r="B205" s="122">
        <v>8.3059999999999992</v>
      </c>
      <c r="C205" s="120" t="str">
        <f t="shared" si="18"/>
        <v>NON</v>
      </c>
      <c r="D205" s="121">
        <v>0.9</v>
      </c>
      <c r="E205" s="125"/>
      <c r="H205" s="210" t="s">
        <v>101</v>
      </c>
      <c r="I205" s="707"/>
      <c r="J205" s="661" t="s">
        <v>23</v>
      </c>
      <c r="K205" s="708" t="s">
        <v>383</v>
      </c>
      <c r="L205" s="217"/>
      <c r="M205" s="112"/>
    </row>
    <row r="206" spans="2:13" hidden="1" x14ac:dyDescent="0.25">
      <c r="B206" s="122">
        <v>13.337</v>
      </c>
      <c r="C206" s="120" t="str">
        <f t="shared" si="18"/>
        <v>NON</v>
      </c>
      <c r="D206" s="121">
        <v>0.95</v>
      </c>
      <c r="E206" s="125"/>
      <c r="H206" s="193" t="s">
        <v>26</v>
      </c>
      <c r="I206" s="703">
        <f>$K$196*I200*($I$194*(1-$I$195)+1-$I$194)</f>
        <v>0</v>
      </c>
      <c r="J206" s="704" t="e">
        <f>I206/$I$206</f>
        <v>#DIV/0!</v>
      </c>
      <c r="K206" s="705" t="s">
        <v>26</v>
      </c>
      <c r="L206" s="188">
        <f>$K$196*I200</f>
        <v>0</v>
      </c>
      <c r="M206" s="112"/>
    </row>
    <row r="207" spans="2:13" hidden="1" x14ac:dyDescent="0.25">
      <c r="H207" s="193" t="s">
        <v>30</v>
      </c>
      <c r="I207" s="703">
        <f>$K$196*I201*($I$194*(1-$I$195)+1-$I$194)</f>
        <v>0</v>
      </c>
      <c r="J207" s="704" t="e">
        <f>I207/$I$206</f>
        <v>#DIV/0!</v>
      </c>
      <c r="K207" s="705" t="s">
        <v>30</v>
      </c>
      <c r="L207" s="188">
        <f>$K$196*I201</f>
        <v>0</v>
      </c>
      <c r="M207" s="112"/>
    </row>
    <row r="208" spans="2:13" hidden="1" x14ac:dyDescent="0.25">
      <c r="H208" s="193" t="s">
        <v>32</v>
      </c>
      <c r="I208" s="703">
        <f>$K$196*I202*($I$194*(1-$I$195)+1-$I$194)</f>
        <v>0</v>
      </c>
      <c r="J208" s="704" t="e">
        <f>I208/$I$206</f>
        <v>#DIV/0!</v>
      </c>
      <c r="K208" s="705" t="s">
        <v>32</v>
      </c>
      <c r="L208" s="188">
        <f>$K$196*I202</f>
        <v>0</v>
      </c>
      <c r="M208" s="112"/>
    </row>
    <row r="209" spans="8:13" hidden="1" x14ac:dyDescent="0.25">
      <c r="H209" s="193"/>
      <c r="I209" s="709"/>
      <c r="J209" s="709"/>
      <c r="K209" s="661"/>
      <c r="L209" s="101"/>
      <c r="M209" s="112"/>
    </row>
    <row r="210" spans="8:13" hidden="1" x14ac:dyDescent="0.25">
      <c r="I210" s="205"/>
      <c r="J210" s="205"/>
      <c r="K210" s="205"/>
      <c r="L210" s="204"/>
      <c r="M210" s="101"/>
    </row>
    <row r="211" spans="8:13" hidden="1" x14ac:dyDescent="0.25">
      <c r="I211" s="205"/>
      <c r="J211" s="205"/>
      <c r="K211" s="205"/>
      <c r="L211" s="204"/>
      <c r="M211" s="101"/>
    </row>
    <row r="212" spans="8:13" hidden="1" x14ac:dyDescent="0.25">
      <c r="H212" s="533" t="s">
        <v>99</v>
      </c>
      <c r="I212" s="567"/>
      <c r="J212" s="205"/>
      <c r="K212" s="206" t="s">
        <v>557</v>
      </c>
      <c r="L212" s="204"/>
      <c r="M212" s="101"/>
    </row>
    <row r="213" spans="8:13" hidden="1" x14ac:dyDescent="0.25">
      <c r="H213" s="193" t="s">
        <v>107</v>
      </c>
      <c r="I213" s="700">
        <f>E68</f>
        <v>0</v>
      </c>
      <c r="J213" s="661" t="s">
        <v>25</v>
      </c>
      <c r="K213" s="695">
        <f>IF(ISNUMBER((3*I213/I217/(I219*TAN(RADIANS(I218))*PI()))^(1/3)),(3*I213/I217/(I219*TAN(RADIANS(I218))*PI()))^(1/3),0)</f>
        <v>0</v>
      </c>
      <c r="L213" s="550"/>
      <c r="M213" s="101"/>
    </row>
    <row r="214" spans="8:13" hidden="1" x14ac:dyDescent="0.25">
      <c r="H214" s="193" t="s">
        <v>58</v>
      </c>
      <c r="I214" s="701">
        <f>C197</f>
        <v>1.4999999999999999E-2</v>
      </c>
      <c r="J214" s="213" t="s">
        <v>59</v>
      </c>
      <c r="K214" s="96" t="s">
        <v>558</v>
      </c>
      <c r="L214" s="204"/>
      <c r="M214" s="101"/>
    </row>
    <row r="215" spans="8:13" hidden="1" x14ac:dyDescent="0.25">
      <c r="H215" s="193" t="s">
        <v>88</v>
      </c>
      <c r="I215" s="697">
        <f>E71</f>
        <v>0</v>
      </c>
      <c r="J215" s="213" t="s">
        <v>89</v>
      </c>
      <c r="K215" s="695">
        <f>TAN(RADIANS(I218))*K213</f>
        <v>0</v>
      </c>
      <c r="L215" s="204"/>
      <c r="M215" s="101"/>
    </row>
    <row r="216" spans="8:13" hidden="1" x14ac:dyDescent="0.25">
      <c r="H216" s="193" t="s">
        <v>90</v>
      </c>
      <c r="I216" s="697">
        <f>$E$200</f>
        <v>0.5</v>
      </c>
      <c r="J216" s="213" t="s">
        <v>91</v>
      </c>
      <c r="K216" s="206" t="s">
        <v>96</v>
      </c>
      <c r="L216" s="204"/>
      <c r="M216" s="101"/>
    </row>
    <row r="217" spans="8:13" hidden="1" x14ac:dyDescent="0.25">
      <c r="H217" s="209" t="s">
        <v>31</v>
      </c>
      <c r="I217" s="698">
        <v>2.5</v>
      </c>
      <c r="J217" s="661" t="s">
        <v>19</v>
      </c>
      <c r="K217" s="696">
        <f>I219*PI()*K213*SQRT(K213^2+K215^2)</f>
        <v>0</v>
      </c>
      <c r="L217" s="550"/>
      <c r="M217" s="101"/>
    </row>
    <row r="218" spans="8:13" hidden="1" x14ac:dyDescent="0.25">
      <c r="H218" s="215" t="s">
        <v>553</v>
      </c>
      <c r="I218" s="699">
        <v>30</v>
      </c>
      <c r="J218" s="574"/>
      <c r="K218" s="574"/>
    </row>
    <row r="219" spans="8:13" hidden="1" x14ac:dyDescent="0.25">
      <c r="H219" s="215" t="s">
        <v>554</v>
      </c>
      <c r="I219" s="700">
        <f>E70</f>
        <v>0</v>
      </c>
      <c r="J219" s="574"/>
      <c r="K219" s="574"/>
    </row>
    <row r="220" spans="8:13" hidden="1" x14ac:dyDescent="0.25">
      <c r="H220" s="210" t="s">
        <v>100</v>
      </c>
      <c r="I220" s="101"/>
      <c r="J220" s="204"/>
      <c r="K220" s="205"/>
      <c r="L220" s="204"/>
      <c r="M220" s="101"/>
    </row>
    <row r="221" spans="8:13" hidden="1" x14ac:dyDescent="0.25">
      <c r="H221" s="193" t="s">
        <v>26</v>
      </c>
      <c r="I221" s="211">
        <f>0.000112*1*1.7*($I$214*100/1.5)*(365*(365-$D$78)/235)*($D$77/365)*100/15</f>
        <v>0</v>
      </c>
      <c r="J221" s="206" t="s">
        <v>61</v>
      </c>
      <c r="K221" s="212"/>
      <c r="L221" s="111"/>
    </row>
    <row r="222" spans="8:13" hidden="1" x14ac:dyDescent="0.25">
      <c r="H222" s="193" t="s">
        <v>30</v>
      </c>
      <c r="I222" s="211">
        <f>0.000112*0.5*1.7*($I$214*100/1.5)*(365*(365-$D$78)/235)*($D$77/365)*100/15</f>
        <v>0</v>
      </c>
      <c r="J222" s="206" t="s">
        <v>61</v>
      </c>
      <c r="K222" s="213"/>
      <c r="L222" s="214"/>
    </row>
    <row r="223" spans="8:13" hidden="1" x14ac:dyDescent="0.25">
      <c r="H223" s="193" t="s">
        <v>32</v>
      </c>
      <c r="I223" s="211">
        <f>0.000112*0.2*1.7*($I$214*100/1.5)*(365*(365-$D$78)/235)*($D$77/365)*100/15</f>
        <v>0</v>
      </c>
      <c r="J223" s="206" t="s">
        <v>61</v>
      </c>
      <c r="K223" s="213"/>
      <c r="L223" s="214"/>
    </row>
    <row r="224" spans="8:13" hidden="1" x14ac:dyDescent="0.25">
      <c r="H224" s="215"/>
      <c r="I224" s="216"/>
      <c r="J224" s="206"/>
      <c r="K224" s="213"/>
      <c r="L224" s="214"/>
    </row>
    <row r="225" spans="8:12" hidden="1" x14ac:dyDescent="0.25">
      <c r="H225" s="193"/>
      <c r="I225" s="101"/>
      <c r="J225" s="204"/>
      <c r="K225" s="205"/>
      <c r="L225" s="204"/>
    </row>
    <row r="226" spans="8:12" hidden="1" x14ac:dyDescent="0.25">
      <c r="H226" s="210" t="s">
        <v>101</v>
      </c>
      <c r="I226" s="217"/>
      <c r="J226" s="101" t="s">
        <v>23</v>
      </c>
      <c r="K226" s="210" t="s">
        <v>383</v>
      </c>
      <c r="L226" s="217"/>
    </row>
    <row r="227" spans="8:12" hidden="1" x14ac:dyDescent="0.25">
      <c r="H227" s="193" t="s">
        <v>26</v>
      </c>
      <c r="I227" s="188">
        <f>$K$217*I221*($I$215*(1-$I$216)+1-$I$215)</f>
        <v>0</v>
      </c>
      <c r="J227" s="55" t="e">
        <f>I227/$I$227</f>
        <v>#DIV/0!</v>
      </c>
      <c r="K227" s="193" t="s">
        <v>26</v>
      </c>
      <c r="L227" s="188">
        <f>$K$217*I221</f>
        <v>0</v>
      </c>
    </row>
    <row r="228" spans="8:12" hidden="1" x14ac:dyDescent="0.25">
      <c r="H228" s="193" t="s">
        <v>30</v>
      </c>
      <c r="I228" s="188">
        <f>$K$217*I222*($I$215*(1-$I$216)+1-$I$215)</f>
        <v>0</v>
      </c>
      <c r="J228" s="55" t="e">
        <f>I228/$I$227</f>
        <v>#DIV/0!</v>
      </c>
      <c r="K228" s="193" t="s">
        <v>30</v>
      </c>
      <c r="L228" s="188">
        <f>$K$217*I222</f>
        <v>0</v>
      </c>
    </row>
    <row r="229" spans="8:12" hidden="1" x14ac:dyDescent="0.25">
      <c r="H229" s="193" t="s">
        <v>32</v>
      </c>
      <c r="I229" s="703">
        <f>$K$217*I223*($I$215*(1-$I$216)+1-$I$215)</f>
        <v>0</v>
      </c>
      <c r="J229" s="704" t="e">
        <f>I229/$I$227</f>
        <v>#DIV/0!</v>
      </c>
      <c r="K229" s="705" t="s">
        <v>32</v>
      </c>
      <c r="L229" s="188">
        <f>$K$217*I223</f>
        <v>0</v>
      </c>
    </row>
    <row r="230" spans="8:12" hidden="1" x14ac:dyDescent="0.25">
      <c r="H230" s="193"/>
      <c r="I230" s="709"/>
      <c r="J230" s="661"/>
      <c r="K230" s="661"/>
      <c r="L230" s="101"/>
    </row>
    <row r="231" spans="8:12" hidden="1" x14ac:dyDescent="0.25">
      <c r="I231" s="574"/>
      <c r="J231" s="574"/>
      <c r="K231" s="574"/>
    </row>
    <row r="232" spans="8:12" hidden="1" x14ac:dyDescent="0.25">
      <c r="I232" s="574"/>
      <c r="J232" s="574"/>
      <c r="K232" s="574"/>
    </row>
    <row r="233" spans="8:12" hidden="1" x14ac:dyDescent="0.25">
      <c r="H233" s="533" t="s">
        <v>98</v>
      </c>
      <c r="I233" s="567"/>
      <c r="J233" s="205"/>
      <c r="K233" s="206" t="s">
        <v>557</v>
      </c>
      <c r="L233" s="204"/>
    </row>
    <row r="234" spans="8:12" hidden="1" x14ac:dyDescent="0.25">
      <c r="H234" s="193" t="s">
        <v>107</v>
      </c>
      <c r="I234" s="700">
        <f>F68</f>
        <v>0</v>
      </c>
      <c r="J234" s="661" t="s">
        <v>25</v>
      </c>
      <c r="K234" s="695">
        <f>IF(ISNUMBER((3*I234/I238/(I240*TAN(RADIANS(I239))*PI()))^(1/3)),(3*I234/I238/(I240*TAN(RADIANS(I239))*PI()))^(1/3),0)</f>
        <v>0</v>
      </c>
      <c r="L234" s="550"/>
    </row>
    <row r="235" spans="8:12" hidden="1" x14ac:dyDescent="0.25">
      <c r="H235" s="193" t="s">
        <v>58</v>
      </c>
      <c r="I235" s="701">
        <f>C196</f>
        <v>7.0000000000000007E-2</v>
      </c>
      <c r="J235" s="213" t="s">
        <v>59</v>
      </c>
      <c r="K235" s="96" t="s">
        <v>558</v>
      </c>
      <c r="L235" s="204"/>
    </row>
    <row r="236" spans="8:12" hidden="1" x14ac:dyDescent="0.25">
      <c r="H236" s="193" t="s">
        <v>88</v>
      </c>
      <c r="I236" s="697">
        <f>F71</f>
        <v>0</v>
      </c>
      <c r="J236" s="213" t="s">
        <v>89</v>
      </c>
      <c r="K236" s="695">
        <f>TAN(RADIANS(I239))*K234</f>
        <v>0</v>
      </c>
      <c r="L236" s="204"/>
    </row>
    <row r="237" spans="8:12" hidden="1" x14ac:dyDescent="0.25">
      <c r="H237" s="193" t="s">
        <v>90</v>
      </c>
      <c r="I237" s="697">
        <f>$E$200</f>
        <v>0.5</v>
      </c>
      <c r="J237" s="213" t="s">
        <v>91</v>
      </c>
      <c r="K237" s="206" t="s">
        <v>96</v>
      </c>
      <c r="L237" s="204"/>
    </row>
    <row r="238" spans="8:12" hidden="1" x14ac:dyDescent="0.25">
      <c r="H238" s="209" t="s">
        <v>31</v>
      </c>
      <c r="I238" s="698">
        <v>2.5</v>
      </c>
      <c r="J238" s="661" t="s">
        <v>19</v>
      </c>
      <c r="K238" s="696">
        <f>I240*PI()*K234*SQRT(K234^2+K236^2)</f>
        <v>0</v>
      </c>
      <c r="L238" s="550"/>
    </row>
    <row r="239" spans="8:12" hidden="1" x14ac:dyDescent="0.25">
      <c r="H239" s="215" t="s">
        <v>553</v>
      </c>
      <c r="I239" s="699">
        <v>30</v>
      </c>
      <c r="J239" s="574"/>
      <c r="K239" s="574"/>
    </row>
    <row r="240" spans="8:12" hidden="1" x14ac:dyDescent="0.25">
      <c r="H240" s="215" t="s">
        <v>554</v>
      </c>
      <c r="I240" s="700">
        <f>F70</f>
        <v>0</v>
      </c>
      <c r="J240" s="574"/>
      <c r="K240" s="574"/>
    </row>
    <row r="241" spans="8:12" hidden="1" x14ac:dyDescent="0.25">
      <c r="H241" s="210" t="s">
        <v>100</v>
      </c>
      <c r="I241" s="101"/>
      <c r="J241" s="204"/>
      <c r="K241" s="205"/>
      <c r="L241" s="204"/>
    </row>
    <row r="242" spans="8:12" hidden="1" x14ac:dyDescent="0.25">
      <c r="H242" s="193" t="s">
        <v>26</v>
      </c>
      <c r="I242" s="211">
        <f>0.000112*1*1.7*($I$235*100/1.5)*(365*(365-$D$78)/235)*($D$77/365)*100/15</f>
        <v>0</v>
      </c>
      <c r="J242" s="206" t="s">
        <v>61</v>
      </c>
      <c r="K242" s="212"/>
      <c r="L242" s="111"/>
    </row>
    <row r="243" spans="8:12" hidden="1" x14ac:dyDescent="0.25">
      <c r="H243" s="193" t="s">
        <v>30</v>
      </c>
      <c r="I243" s="211">
        <f>0.000112*0.5*1.7*($I$235*100/1.5)*(365*(365-$D$78)/235)*($D$77/365)*100/15</f>
        <v>0</v>
      </c>
      <c r="J243" s="206" t="s">
        <v>61</v>
      </c>
      <c r="K243" s="213"/>
      <c r="L243" s="214"/>
    </row>
    <row r="244" spans="8:12" hidden="1" x14ac:dyDescent="0.25">
      <c r="H244" s="193" t="s">
        <v>32</v>
      </c>
      <c r="I244" s="211">
        <f>0.000112*0.2*1.7*($I$235*100/1.5)*(365*(365-$D$78)/235)*($D$77/365)*100/15</f>
        <v>0</v>
      </c>
      <c r="J244" s="206" t="s">
        <v>61</v>
      </c>
      <c r="K244" s="213"/>
      <c r="L244" s="214"/>
    </row>
    <row r="245" spans="8:12" hidden="1" x14ac:dyDescent="0.25">
      <c r="H245" s="215"/>
      <c r="I245" s="216"/>
      <c r="J245" s="206"/>
      <c r="K245" s="213"/>
      <c r="L245" s="214"/>
    </row>
    <row r="246" spans="8:12" hidden="1" x14ac:dyDescent="0.25">
      <c r="H246" s="193"/>
      <c r="I246" s="101"/>
      <c r="J246" s="204"/>
      <c r="K246" s="205"/>
      <c r="L246" s="204"/>
    </row>
    <row r="247" spans="8:12" hidden="1" x14ac:dyDescent="0.25">
      <c r="H247" s="210" t="s">
        <v>101</v>
      </c>
      <c r="I247" s="217"/>
      <c r="J247" s="101" t="s">
        <v>23</v>
      </c>
      <c r="K247" s="210" t="s">
        <v>383</v>
      </c>
      <c r="L247" s="217"/>
    </row>
    <row r="248" spans="8:12" hidden="1" x14ac:dyDescent="0.25">
      <c r="H248" s="193" t="s">
        <v>26</v>
      </c>
      <c r="I248" s="703">
        <f>$K$238*I242*($I$236*(1-$I$237)+1-$I$236)</f>
        <v>0</v>
      </c>
      <c r="J248" s="704" t="e">
        <f>I248/$I$248</f>
        <v>#DIV/0!</v>
      </c>
      <c r="K248" s="705" t="s">
        <v>26</v>
      </c>
      <c r="L248" s="188">
        <f>$K$238*I242</f>
        <v>0</v>
      </c>
    </row>
    <row r="249" spans="8:12" hidden="1" x14ac:dyDescent="0.25">
      <c r="H249" s="193" t="s">
        <v>30</v>
      </c>
      <c r="I249" s="703">
        <f>$K$238*I243*($I$236*(1-$I$237)+1-$I$236)</f>
        <v>0</v>
      </c>
      <c r="J249" s="704" t="e">
        <f>I249/$I$248</f>
        <v>#DIV/0!</v>
      </c>
      <c r="K249" s="705" t="s">
        <v>30</v>
      </c>
      <c r="L249" s="188">
        <f>$K$238*I243</f>
        <v>0</v>
      </c>
    </row>
    <row r="250" spans="8:12" hidden="1" x14ac:dyDescent="0.25">
      <c r="H250" s="193" t="s">
        <v>32</v>
      </c>
      <c r="I250" s="703">
        <f>$K$238*I244*($I$236*(1-$I$237)+1-$I$236)</f>
        <v>0</v>
      </c>
      <c r="J250" s="704" t="e">
        <f>I250/$I$248</f>
        <v>#DIV/0!</v>
      </c>
      <c r="K250" s="705" t="s">
        <v>32</v>
      </c>
      <c r="L250" s="188">
        <f>$K$238*I244</f>
        <v>0</v>
      </c>
    </row>
    <row r="251" spans="8:12" hidden="1" x14ac:dyDescent="0.25">
      <c r="I251" s="574"/>
      <c r="J251" s="574"/>
      <c r="K251" s="574"/>
    </row>
    <row r="252" spans="8:12" hidden="1" x14ac:dyDescent="0.25">
      <c r="I252" s="574"/>
      <c r="J252" s="574"/>
      <c r="K252" s="574"/>
    </row>
    <row r="253" spans="8:12" hidden="1" x14ac:dyDescent="0.25">
      <c r="I253" s="574"/>
      <c r="J253" s="574"/>
      <c r="K253" s="574"/>
    </row>
    <row r="254" spans="8:12" hidden="1" x14ac:dyDescent="0.25">
      <c r="H254" s="533" t="s">
        <v>97</v>
      </c>
      <c r="I254" s="567"/>
      <c r="J254" s="205"/>
      <c r="K254" s="206" t="s">
        <v>557</v>
      </c>
      <c r="L254" s="204"/>
    </row>
    <row r="255" spans="8:12" hidden="1" x14ac:dyDescent="0.25">
      <c r="H255" s="193" t="s">
        <v>107</v>
      </c>
      <c r="I255" s="700">
        <f>G68</f>
        <v>0</v>
      </c>
      <c r="J255" s="661" t="s">
        <v>25</v>
      </c>
      <c r="K255" s="695">
        <f>IF(ISNUMBER((3*I255/I259/(I261*TAN(RADIANS(I260))*PI()))^(1/3)),(3*I255/I259/(I261*TAN(RADIANS(I260))*PI()))^(1/3),0)</f>
        <v>0</v>
      </c>
      <c r="L255" s="550"/>
    </row>
    <row r="256" spans="8:12" hidden="1" x14ac:dyDescent="0.25">
      <c r="H256" s="193" t="s">
        <v>58</v>
      </c>
      <c r="I256" s="701">
        <f>C195</f>
        <v>0.11</v>
      </c>
      <c r="J256" s="213" t="s">
        <v>59</v>
      </c>
      <c r="K256" s="96" t="s">
        <v>558</v>
      </c>
      <c r="L256" s="204"/>
    </row>
    <row r="257" spans="8:12" hidden="1" x14ac:dyDescent="0.25">
      <c r="H257" s="193" t="s">
        <v>88</v>
      </c>
      <c r="I257" s="697">
        <f>G71</f>
        <v>0</v>
      </c>
      <c r="J257" s="213" t="s">
        <v>89</v>
      </c>
      <c r="K257" s="695">
        <f>TAN(RADIANS(I260))*K255</f>
        <v>0</v>
      </c>
      <c r="L257" s="204"/>
    </row>
    <row r="258" spans="8:12" hidden="1" x14ac:dyDescent="0.25">
      <c r="H258" s="193" t="s">
        <v>90</v>
      </c>
      <c r="I258" s="697">
        <f>$E$200</f>
        <v>0.5</v>
      </c>
      <c r="J258" s="213" t="s">
        <v>91</v>
      </c>
      <c r="K258" s="206" t="s">
        <v>96</v>
      </c>
      <c r="L258" s="204"/>
    </row>
    <row r="259" spans="8:12" hidden="1" x14ac:dyDescent="0.25">
      <c r="H259" s="209" t="s">
        <v>31</v>
      </c>
      <c r="I259" s="698">
        <v>2.5</v>
      </c>
      <c r="J259" s="661" t="s">
        <v>19</v>
      </c>
      <c r="K259" s="696">
        <f>I261*PI()*K255*SQRT(K255^2+K257^2)</f>
        <v>0</v>
      </c>
      <c r="L259" s="550"/>
    </row>
    <row r="260" spans="8:12" hidden="1" x14ac:dyDescent="0.25">
      <c r="H260" s="215" t="s">
        <v>553</v>
      </c>
      <c r="I260" s="699">
        <v>30</v>
      </c>
      <c r="J260" s="574"/>
      <c r="K260" s="574"/>
    </row>
    <row r="261" spans="8:12" hidden="1" x14ac:dyDescent="0.25">
      <c r="H261" s="215" t="s">
        <v>554</v>
      </c>
      <c r="I261" s="700">
        <f>G70</f>
        <v>0</v>
      </c>
      <c r="J261" s="574"/>
      <c r="K261" s="574"/>
    </row>
    <row r="262" spans="8:12" hidden="1" x14ac:dyDescent="0.25">
      <c r="H262" s="210" t="s">
        <v>100</v>
      </c>
      <c r="I262" s="101"/>
      <c r="J262" s="204"/>
      <c r="K262" s="205"/>
      <c r="L262" s="204"/>
    </row>
    <row r="263" spans="8:12" hidden="1" x14ac:dyDescent="0.25">
      <c r="H263" s="193" t="s">
        <v>26</v>
      </c>
      <c r="I263" s="211">
        <f>0.000112*1*1.7*($I$256*100/1.5)*(365*(365-$D$78)/235)*($D$77/365)*100/15</f>
        <v>0</v>
      </c>
      <c r="J263" s="206" t="s">
        <v>61</v>
      </c>
      <c r="K263" s="212"/>
      <c r="L263" s="111"/>
    </row>
    <row r="264" spans="8:12" hidden="1" x14ac:dyDescent="0.25">
      <c r="H264" s="193" t="s">
        <v>30</v>
      </c>
      <c r="I264" s="211">
        <f>0.000112*0.5*1.7*($I$256*100/1.5)*(365*(365-$D$78)/235)*($D$77/365)*100/15</f>
        <v>0</v>
      </c>
      <c r="J264" s="206" t="s">
        <v>61</v>
      </c>
      <c r="K264" s="213"/>
      <c r="L264" s="214"/>
    </row>
    <row r="265" spans="8:12" hidden="1" x14ac:dyDescent="0.25">
      <c r="H265" s="193" t="s">
        <v>32</v>
      </c>
      <c r="I265" s="211">
        <f>0.000112*0.2*1.7*($I$256*100/1.5)*(365*(365-$D$78)/235)*($D$77/365)*100/15</f>
        <v>0</v>
      </c>
      <c r="J265" s="206" t="s">
        <v>61</v>
      </c>
      <c r="K265" s="213"/>
      <c r="L265" s="214"/>
    </row>
    <row r="266" spans="8:12" hidden="1" x14ac:dyDescent="0.25">
      <c r="H266" s="215"/>
      <c r="I266" s="216"/>
      <c r="J266" s="206"/>
      <c r="K266" s="213"/>
      <c r="L266" s="214"/>
    </row>
    <row r="267" spans="8:12" hidden="1" x14ac:dyDescent="0.25">
      <c r="H267" s="193"/>
      <c r="I267" s="101"/>
      <c r="J267" s="204"/>
      <c r="K267" s="205"/>
      <c r="L267" s="204"/>
    </row>
    <row r="268" spans="8:12" hidden="1" x14ac:dyDescent="0.25">
      <c r="H268" s="210" t="s">
        <v>101</v>
      </c>
      <c r="I268" s="217"/>
      <c r="J268" s="101" t="s">
        <v>23</v>
      </c>
      <c r="K268" s="210" t="s">
        <v>383</v>
      </c>
      <c r="L268" s="217"/>
    </row>
    <row r="269" spans="8:12" hidden="1" x14ac:dyDescent="0.25">
      <c r="H269" s="193" t="s">
        <v>26</v>
      </c>
      <c r="I269" s="188">
        <f>$K$259*I263*($I$257*(1-$I$258)+1-$I$257)</f>
        <v>0</v>
      </c>
      <c r="J269" s="55" t="e">
        <f>I269/$I$269</f>
        <v>#DIV/0!</v>
      </c>
      <c r="K269" s="193" t="s">
        <v>26</v>
      </c>
      <c r="L269" s="188">
        <f>$K$259*I263</f>
        <v>0</v>
      </c>
    </row>
    <row r="270" spans="8:12" hidden="1" x14ac:dyDescent="0.25">
      <c r="H270" s="193" t="s">
        <v>30</v>
      </c>
      <c r="I270" s="188">
        <f>$K$259*I264*($I$257*(1-$I$258)+1-$I$257)</f>
        <v>0</v>
      </c>
      <c r="J270" s="55" t="e">
        <f>I270/$I$269</f>
        <v>#DIV/0!</v>
      </c>
      <c r="K270" s="193" t="s">
        <v>30</v>
      </c>
      <c r="L270" s="188">
        <f>$K$259*I264</f>
        <v>0</v>
      </c>
    </row>
    <row r="271" spans="8:12" hidden="1" x14ac:dyDescent="0.25">
      <c r="H271" s="193" t="s">
        <v>32</v>
      </c>
      <c r="I271" s="188">
        <f>$K$259*I265*($I$257*(1-$I$258)+1-$I$257)</f>
        <v>0</v>
      </c>
      <c r="J271" s="55" t="e">
        <f>I271/$I$269</f>
        <v>#DIV/0!</v>
      </c>
      <c r="K271" s="193" t="s">
        <v>32</v>
      </c>
      <c r="L271" s="188">
        <f>$K$259*I265</f>
        <v>0</v>
      </c>
    </row>
    <row r="272" spans="8:12" hidden="1" x14ac:dyDescent="0.25"/>
    <row r="273" spans="8:12" hidden="1" x14ac:dyDescent="0.25"/>
    <row r="274" spans="8:12" hidden="1" x14ac:dyDescent="0.25"/>
    <row r="275" spans="8:12" hidden="1" x14ac:dyDescent="0.25"/>
    <row r="276" spans="8:12" ht="15.75" hidden="1" thickBot="1" x14ac:dyDescent="0.3"/>
    <row r="277" spans="8:12" ht="15.75" hidden="1" thickTop="1" x14ac:dyDescent="0.25">
      <c r="H277" s="534" t="s">
        <v>447</v>
      </c>
      <c r="I277" s="531"/>
      <c r="J277" s="531"/>
      <c r="K277" s="531"/>
      <c r="L277" s="532"/>
    </row>
    <row r="278" spans="8:12" hidden="1" x14ac:dyDescent="0.25">
      <c r="H278" s="210"/>
      <c r="I278" s="102" t="s">
        <v>33</v>
      </c>
      <c r="J278" s="101" t="s">
        <v>23</v>
      </c>
      <c r="K278" s="102"/>
      <c r="L278" s="114" t="s">
        <v>305</v>
      </c>
    </row>
    <row r="279" spans="8:12" hidden="1" x14ac:dyDescent="0.25">
      <c r="H279" s="193" t="s">
        <v>26</v>
      </c>
      <c r="I279" s="116">
        <f>IF(ISERROR(SUM(I206,I227,I248,I269)/1000),0,SUM(I206,I227,I248,I269)/1000)</f>
        <v>0</v>
      </c>
      <c r="J279" s="55" t="e">
        <f>I279/$I$279</f>
        <v>#DIV/0!</v>
      </c>
      <c r="K279" s="101" t="s">
        <v>26</v>
      </c>
      <c r="L279" s="108" t="str">
        <f>IF(ISERROR(I279*1000000/SUM($D$68:$G$68)),"-",(I279*1000000/SUM($D$68:$G$68)))</f>
        <v>-</v>
      </c>
    </row>
    <row r="280" spans="8:12" hidden="1" x14ac:dyDescent="0.25">
      <c r="H280" s="193" t="s">
        <v>30</v>
      </c>
      <c r="I280" s="116">
        <f>IF(ISERROR(SUM(I207,I228,I249,I270)/1000),0,SUM(I207,I228,I249,I270)/1000)</f>
        <v>0</v>
      </c>
      <c r="J280" s="55" t="e">
        <f>I280/$I$279</f>
        <v>#DIV/0!</v>
      </c>
      <c r="K280" s="101" t="s">
        <v>30</v>
      </c>
      <c r="L280" s="108" t="str">
        <f t="shared" ref="L280" si="19">IF(ISERROR(I280*1000000/SUM($D$68:$G$68)),"-",(I280*1000000/SUM($D$68:$G$68)))</f>
        <v>-</v>
      </c>
    </row>
    <row r="281" spans="8:12" hidden="1" x14ac:dyDescent="0.25">
      <c r="H281" s="193" t="s">
        <v>32</v>
      </c>
      <c r="I281" s="116">
        <f>IF(ISERROR(SUM(I208,I229,I250,I271)/1000),0,SUM(I208,I229,I250,I271)/1000)</f>
        <v>0</v>
      </c>
      <c r="J281" s="55" t="e">
        <f>I281/$I$279</f>
        <v>#DIV/0!</v>
      </c>
      <c r="K281" s="101" t="s">
        <v>32</v>
      </c>
      <c r="L281" s="108" t="str">
        <f>IF(ISERROR(I281*1000000/SUM($D$68:$G$68)),"-",(I281*1000000/SUM($D$68:$G$68)))</f>
        <v>-</v>
      </c>
    </row>
    <row r="282" spans="8:12" ht="15.75" hidden="1" thickBot="1" x14ac:dyDescent="0.3">
      <c r="H282" s="219"/>
      <c r="I282" s="104"/>
      <c r="J282" s="105"/>
      <c r="K282" s="106"/>
      <c r="L282" s="107"/>
    </row>
    <row r="283" spans="8:12" ht="15.75" hidden="1" thickTop="1" x14ac:dyDescent="0.25"/>
    <row r="284" spans="8:12" hidden="1" x14ac:dyDescent="0.25"/>
    <row r="285" spans="8:12" hidden="1" x14ac:dyDescent="0.25">
      <c r="H285" s="210" t="s">
        <v>384</v>
      </c>
    </row>
    <row r="286" spans="8:12" hidden="1" x14ac:dyDescent="0.25">
      <c r="H286" s="193" t="s">
        <v>26</v>
      </c>
      <c r="I286" s="116">
        <f>IF(ISERROR(SUM(L206,L227,L248,L269)/1000),0,SUM(L206,L227,L248,L269)/1000)</f>
        <v>0</v>
      </c>
    </row>
    <row r="287" spans="8:12" hidden="1" x14ac:dyDescent="0.25">
      <c r="H287" s="193" t="s">
        <v>30</v>
      </c>
      <c r="I287" s="116">
        <f>IF(ISERROR(SUM(L207,L228,L249,L270)/1000),0,SUM(L207,L228,L249,L270)/1000)</f>
        <v>0</v>
      </c>
    </row>
    <row r="288" spans="8:12" hidden="1" x14ac:dyDescent="0.25">
      <c r="H288" s="193" t="s">
        <v>32</v>
      </c>
      <c r="I288" s="116">
        <f>IF(ISERROR(SUM(L208,L229,L250,L271)/1000),0,SUM(L208,L229,L250,L271)/1000)</f>
        <v>0</v>
      </c>
    </row>
    <row r="289" spans="8:12" hidden="1" x14ac:dyDescent="0.25"/>
    <row r="290" spans="8:12" hidden="1" x14ac:dyDescent="0.25"/>
    <row r="291" spans="8:12" hidden="1" x14ac:dyDescent="0.25"/>
    <row r="292" spans="8:12" ht="15.75" hidden="1" thickBot="1" x14ac:dyDescent="0.3"/>
    <row r="293" spans="8:12" ht="15.75" hidden="1" thickTop="1" x14ac:dyDescent="0.25">
      <c r="H293" s="534" t="s">
        <v>448</v>
      </c>
      <c r="I293" s="531"/>
      <c r="J293" s="531"/>
      <c r="K293" s="531"/>
      <c r="L293" s="532"/>
    </row>
    <row r="294" spans="8:12" hidden="1" x14ac:dyDescent="0.25">
      <c r="H294" s="210"/>
      <c r="I294" s="102" t="s">
        <v>33</v>
      </c>
      <c r="J294" s="101" t="s">
        <v>23</v>
      </c>
      <c r="K294" s="102"/>
      <c r="L294" s="114" t="s">
        <v>305</v>
      </c>
    </row>
    <row r="295" spans="8:12" hidden="1" x14ac:dyDescent="0.25">
      <c r="H295" s="193" t="s">
        <v>26</v>
      </c>
      <c r="I295" s="116">
        <f>IF(ISERROR(SUM(I176,I279)),0,SUM(I176,I279))</f>
        <v>0</v>
      </c>
      <c r="J295" s="55" t="e">
        <f>I295/$I$295</f>
        <v>#DIV/0!</v>
      </c>
      <c r="K295" s="101" t="s">
        <v>26</v>
      </c>
      <c r="L295" s="108" t="str">
        <f>IF(ISERROR(I295*1000000/SUM($D$68:$G$68,$D$65:$G$65)),"-",(I295*1000000/SUM($D$68:$G$68,$D$65:$G$65)))</f>
        <v>-</v>
      </c>
    </row>
    <row r="296" spans="8:12" hidden="1" x14ac:dyDescent="0.25">
      <c r="H296" s="193" t="s">
        <v>30</v>
      </c>
      <c r="I296" s="116">
        <f>IF(ISERROR(SUM(I177,I280)),0,SUM(I177,I280))</f>
        <v>0</v>
      </c>
      <c r="J296" s="55" t="e">
        <f>I296/$I$295</f>
        <v>#DIV/0!</v>
      </c>
      <c r="K296" s="101" t="s">
        <v>30</v>
      </c>
      <c r="L296" s="108" t="str">
        <f>IF(ISERROR(I296*1000000/SUM($D$68:$G$68,$D$65:$G$65)),"-",(I296*1000000/SUM($D$68:$G$68,$D$65:$G$65)))</f>
        <v>-</v>
      </c>
    </row>
    <row r="297" spans="8:12" hidden="1" x14ac:dyDescent="0.25">
      <c r="H297" s="193" t="s">
        <v>32</v>
      </c>
      <c r="I297" s="116">
        <f>IF(ISERROR(SUM(I178,I281)),0,SUM(I178,I281))</f>
        <v>0</v>
      </c>
      <c r="J297" s="55" t="e">
        <f>I297/$I$295</f>
        <v>#DIV/0!</v>
      </c>
      <c r="K297" s="101" t="s">
        <v>32</v>
      </c>
      <c r="L297" s="108" t="str">
        <f>IF(ISERROR(I297*1000000/SUM($D$68:$G$68,$D$65:$G$65)),"-",(I297*1000000/SUM($D$68:$G$68,$D$65:$G$65)))</f>
        <v>-</v>
      </c>
    </row>
    <row r="298" spans="8:12" ht="15.75" hidden="1" thickBot="1" x14ac:dyDescent="0.3">
      <c r="H298" s="219"/>
      <c r="I298" s="104"/>
      <c r="J298" s="105"/>
      <c r="K298" s="106"/>
      <c r="L298" s="107"/>
    </row>
    <row r="299" spans="8:12" ht="15.75" hidden="1" thickTop="1" x14ac:dyDescent="0.25"/>
    <row r="300" spans="8:12" hidden="1" x14ac:dyDescent="0.25"/>
    <row r="301" spans="8:12" hidden="1" x14ac:dyDescent="0.25">
      <c r="H301" s="210" t="s">
        <v>384</v>
      </c>
    </row>
    <row r="302" spans="8:12" hidden="1" x14ac:dyDescent="0.25">
      <c r="H302" s="193" t="s">
        <v>26</v>
      </c>
      <c r="I302" s="116">
        <f>IF(ISERROR(SUM(I183,I286)),0,SUM(I183,I286))</f>
        <v>0</v>
      </c>
    </row>
    <row r="303" spans="8:12" hidden="1" x14ac:dyDescent="0.25">
      <c r="H303" s="193" t="s">
        <v>30</v>
      </c>
      <c r="I303" s="116">
        <f>IF(ISERROR(SUM(I184,I287)),0,SUM(I184,I287))</f>
        <v>0</v>
      </c>
    </row>
    <row r="304" spans="8:12" hidden="1" x14ac:dyDescent="0.25">
      <c r="H304" s="193" t="s">
        <v>32</v>
      </c>
      <c r="I304" s="116">
        <f>IF(ISERROR(SUM(I185,I288)),0,SUM(I185,I288))</f>
        <v>0</v>
      </c>
    </row>
    <row r="305" hidden="1" x14ac:dyDescent="0.25"/>
    <row r="306" hidden="1" x14ac:dyDescent="0.25"/>
    <row r="307" hidden="1" x14ac:dyDescent="0.25"/>
    <row r="308" hidden="1" x14ac:dyDescent="0.25"/>
    <row r="309" hidden="1" x14ac:dyDescent="0.25"/>
    <row r="310" hidden="1" x14ac:dyDescent="0.25"/>
    <row r="311" hidden="1" x14ac:dyDescent="0.25"/>
  </sheetData>
  <sheetProtection algorithmName="SHA-512" hashValue="afOK92usvP520tkqQJula8Oey7d3/GxmVTtvsO5mwpWCWW+zk+3VSy1H66jS2bvAPqspeeVqC2OFqEQDk5Javg==" saltValue="LmtEVs4Z25Qi75WmqtXWyw==" spinCount="100000" sheet="1" selectLockedCells="1"/>
  <mergeCells count="35">
    <mergeCell ref="B4:C4"/>
    <mergeCell ref="B5:C5"/>
    <mergeCell ref="B6:C6"/>
    <mergeCell ref="B7:C7"/>
    <mergeCell ref="B182:C182"/>
    <mergeCell ref="B13:C13"/>
    <mergeCell ref="B8:C8"/>
    <mergeCell ref="B9:C9"/>
    <mergeCell ref="B10:C10"/>
    <mergeCell ref="B11:C11"/>
    <mergeCell ref="B12:C12"/>
    <mergeCell ref="B81:G81"/>
    <mergeCell ref="G13:G14"/>
    <mergeCell ref="G15:H15"/>
    <mergeCell ref="B190:C190"/>
    <mergeCell ref="B191:C191"/>
    <mergeCell ref="B184:C184"/>
    <mergeCell ref="B185:C185"/>
    <mergeCell ref="B186:C186"/>
    <mergeCell ref="B187:C187"/>
    <mergeCell ref="B188:C188"/>
    <mergeCell ref="B189:C189"/>
    <mergeCell ref="B183:C183"/>
    <mergeCell ref="H88:I88"/>
    <mergeCell ref="G20:H20"/>
    <mergeCell ref="G21:H21"/>
    <mergeCell ref="G22:H22"/>
    <mergeCell ref="H81:M81"/>
    <mergeCell ref="B123:F123"/>
    <mergeCell ref="B96:F96"/>
    <mergeCell ref="B83:F83"/>
    <mergeCell ref="B101:F101"/>
    <mergeCell ref="B88:F88"/>
    <mergeCell ref="B92:F92"/>
    <mergeCell ref="B105:F105"/>
  </mergeCells>
  <conditionalFormatting sqref="E77:E79">
    <cfRule type="expression" dxfId="3" priority="4">
      <formula>$D$76="NON"</formula>
    </cfRule>
  </conditionalFormatting>
  <conditionalFormatting sqref="C89:F91">
    <cfRule type="expression" dxfId="2" priority="3">
      <formula>C89=0</formula>
    </cfRule>
  </conditionalFormatting>
  <conditionalFormatting sqref="C102:F104">
    <cfRule type="expression" dxfId="1" priority="2">
      <formula>C102=0</formula>
    </cfRule>
  </conditionalFormatting>
  <conditionalFormatting sqref="E16:E17">
    <cfRule type="expression" dxfId="0" priority="1">
      <formula>E16=0</formula>
    </cfRule>
  </conditionalFormatting>
  <printOptions horizontalCentered="1" verticalCentered="1"/>
  <pageMargins left="0.70866141732283472" right="0.70866141732283472" top="0.74803149606299213" bottom="0.74803149606299213" header="0.31496062992125984" footer="0.31496062992125984"/>
  <pageSetup paperSize="9" scale="2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Avant-propos</vt:lpstr>
      <vt:lpstr>Fiche de renseignements</vt:lpstr>
      <vt:lpstr>Autres substances</vt:lpstr>
      <vt:lpstr>Fiche n°1 - Forage Minage</vt:lpstr>
      <vt:lpstr>Fiche n°2 - Traitement</vt:lpstr>
      <vt:lpstr>Fiche n°3 - Transport interne</vt:lpstr>
      <vt:lpstr>Fiches n°4 et 5 - Stock</vt:lpstr>
      <vt:lpstr>'Autres substances'!Zone_d_impression</vt:lpstr>
      <vt:lpstr>'Avant-propos'!Zone_d_impression</vt:lpstr>
      <vt:lpstr>'Fiche de renseignements'!Zone_d_impression</vt:lpstr>
      <vt:lpstr>'Fiche n°1 - Forage Minage'!Zone_d_impression</vt:lpstr>
      <vt:lpstr>'Fiche n°2 - Traitement'!Zone_d_impression</vt:lpstr>
      <vt:lpstr>'Fiche n°3 - Transport interne'!Zone_d_impression</vt:lpstr>
      <vt:lpstr>'Fiches n°4 et 5 - Stock'!Zone_d_impression</vt:lpstr>
    </vt:vector>
  </TitlesOfParts>
  <Company>CITEPA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BERGEOT</dc:creator>
  <cp:lastModifiedBy>Nathan Vandromme</cp:lastModifiedBy>
  <cp:lastPrinted>2014-02-13T13:26:28Z</cp:lastPrinted>
  <dcterms:created xsi:type="dcterms:W3CDTF">2013-07-02T14:14:49Z</dcterms:created>
  <dcterms:modified xsi:type="dcterms:W3CDTF">2020-12-16T15:07:48Z</dcterms:modified>
</cp:coreProperties>
</file>