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codeName="ThisWorkbook" defaultThemeVersion="124226"/>
  <xr:revisionPtr revIDLastSave="0" documentId="13_ncr:1_{9681E2F8-E18A-4936-A054-FE1940A19819}" xr6:coauthVersionLast="46" xr6:coauthVersionMax="46" xr10:uidLastSave="{00000000-0000-0000-0000-000000000000}"/>
  <bookViews>
    <workbookView xWindow="28680" yWindow="-120" windowWidth="29040" windowHeight="15840" tabRatio="812" xr2:uid="{00000000-000D-0000-FFFF-FFFF00000000}"/>
  </bookViews>
  <sheets>
    <sheet name="Accueil" sheetId="5" r:id="rId1"/>
    <sheet name="Données d'entrée" sheetId="58" state="hidden" r:id="rId2"/>
    <sheet name="Exploitation" sheetId="57" r:id="rId3"/>
    <sheet name="Emissions" sheetId="59" state="hidden" r:id="rId4"/>
    <sheet name="Synthèse des émissions" sheetId="22" r:id="rId5"/>
    <sheet name="Déclaration" sheetId="61" r:id="rId6"/>
  </sheets>
  <definedNames>
    <definedName name="_xlnm._FilterDatabase" localSheetId="1" hidden="1">'Données d''entrée'!$B$5:$C$5</definedName>
    <definedName name="acide">'Données d''entrée'!$B$312:$B$313</definedName>
    <definedName name="Bo">'Données d''entrée'!$B$471:$C$478</definedName>
    <definedName name="caillebotis_integral" comment="Systèmes de gestion des déjections associés au caillebotis intégral">'Données d''entrée'!$D$97:$D$104</definedName>
    <definedName name="caillebotis_partiel">'Données d''entrée'!$D$105:$D$111</definedName>
    <definedName name="CH4_fumier_bat">'Données d''entrée'!$D$483:$E$484</definedName>
    <definedName name="CH4_liquide_stockage">'Données d''entrée'!$I$485:$J$490</definedName>
    <definedName name="CH4_liquide_trait">'Données d''entrée'!$I$491:$J$496</definedName>
    <definedName name="CH4_lisier_bat">'Données d''entrée'!$I$483:$J$484</definedName>
    <definedName name="CH4_solide_stockage">'Données d''entrée'!$D$485:$E$488</definedName>
    <definedName name="CH4_solide_trait">'Données d''entrée'!$D$489:$E$492</definedName>
    <definedName name="correspondance_dejections">'Données d''entrée'!$B$97:$D$113</definedName>
    <definedName name="correspondance_stockage">'Données d''entrée'!$B$157:$D$165</definedName>
    <definedName name="devenir_efflu">'Données d''entrée'!$B$211:$B$213</definedName>
    <definedName name="duree_stockage" comment="Durée de stockage des déjections au batiment">'Données d''entrée'!$B$118:$B$119</definedName>
    <definedName name="epandage_Liquide">'Données d''entrée'!$B$184:$B$199</definedName>
    <definedName name="epandage_Solide">'Données d''entrée'!$B$202:$B$208</definedName>
    <definedName name="FA_CH4_Stockage">'Données d''entrée'!$B$544:$C$547</definedName>
    <definedName name="FA_epandage_liquide">'Données d''entrée'!$C$430:$D$445</definedName>
    <definedName name="FA_epandage_solide">'Données d''entrée'!$C$446:$D$452</definedName>
    <definedName name="FA_particules_air">'Données d''entrée'!$B$572:$C$576</definedName>
    <definedName name="FA_particules_ambiance">'Données d''entrée'!$B$565:$C$569</definedName>
    <definedName name="FA_stockage">'Données d''entrée'!$B$409:$C$417</definedName>
    <definedName name="FE_CH4_ent">#REF!</definedName>
    <definedName name="FE_fumier">#REF!</definedName>
    <definedName name="FE_lisier">#REF!</definedName>
    <definedName name="FE_PM">#REF!</definedName>
    <definedName name="fex">'Données d''entrée'!$B$54:$H$60</definedName>
    <definedName name="gestion_ambiance">'Données d''entrée'!$B$124:$B$128</definedName>
    <definedName name="gestion_batiment">'Données d''entrée'!$B$124:$B$127</definedName>
    <definedName name="indicateur_air">'Données d''entrée'!$B$326:$C$330</definedName>
    <definedName name="indicateur_ventilation">'Données d''entrée'!$B$319:$C$323</definedName>
    <definedName name="liste">OFFSET(Exploitation!XFA102,0,0,COUNTA(liste_trait_stock_liquide))</definedName>
    <definedName name="liste_alim">'Données d''entrée'!$B$45:$B$47</definedName>
    <definedName name="liste_naisseur_engraisseur">'Données d''entrée'!$B$38:$B$40</definedName>
    <definedName name="liste_sols">'Données d''entrée'!$B$88:$B$91</definedName>
    <definedName name="liste_stock_liquide">'Données d''entrée'!$D$273:$D$277</definedName>
    <definedName name="liste_stock_solide">'Données d''entrée'!$D$287:$D$291</definedName>
    <definedName name="liste_trait_stock_liquide">'Données d''entrée'!$D$221:$D$231</definedName>
    <definedName name="liste_trait_stock_solide">'Données d''entrée'!$D$248:$D$258</definedName>
    <definedName name="litiere_paille" comment="Système de gestion des déjections associé à la litière paille">'Données d''entrée'!$D$112</definedName>
    <definedName name="litiere_sciure" comment="Système de gestion des déjections associé à la litière sciure">'Données d''entrée'!$D$113</definedName>
    <definedName name="MAT_NEA">'Données d''entrée'!$B$614:$C$616</definedName>
    <definedName name="NEA">'Données d''entrée'!$B$614:$B$616</definedName>
    <definedName name="NEA_PS">'Données d''entrée'!$B$622:$E$627</definedName>
    <definedName name="POIDS">'Données d''entrée'!$B$622:$B$627</definedName>
    <definedName name="question_traitement">'Données d''entrée'!$B$302:$B$303</definedName>
    <definedName name="Régions">'Données d''entrée'!$B$6:$B$33</definedName>
    <definedName name="Repartition_Liquide_Solide">'Données d''entrée'!#REF!</definedName>
    <definedName name="stockage_liquide">'Données d''entrée'!$D$172:$D$177</definedName>
    <definedName name="stockage_solide">'Données d''entrée'!$D$168:$D$171</definedName>
    <definedName name="stockage_sortie">'Données d''entrée'!$D$168:$E$176</definedName>
    <definedName name="Traitement_air">'Données d''entrée'!$B$133:$B$137</definedName>
    <definedName name="traitement_lieu">'Données d''entrée'!$B$149:$B$150</definedName>
    <definedName name="traitement_liquide">'Données d''entrée'!$D$159:$D$164</definedName>
    <definedName name="traitement_solide">'Données d''entrée'!$D$155:$D$158</definedName>
    <definedName name="traitement_sortie">'Données d''entrée'!$D$155:$E$164</definedName>
    <definedName name="type_efflu_bat">'Données d''entrée'!$D$97:$E$113</definedName>
    <definedName name="type_efflu_post_trait">'Données d''entrée'!$D$157:$E$164</definedName>
    <definedName name="type_effluent">'Données d''entrée'!$B$143:$B$144</definedName>
    <definedName name="VS">'Données d''entrée'!$B$471:$D$478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9" i="61" l="1"/>
  <c r="V39" i="61"/>
  <c r="U39" i="61"/>
  <c r="T39" i="61"/>
  <c r="S39" i="61"/>
  <c r="R39" i="61"/>
  <c r="Q39" i="61"/>
  <c r="P67" i="61"/>
  <c r="P66" i="61"/>
  <c r="P65" i="61"/>
  <c r="P64" i="61"/>
  <c r="P63" i="61"/>
  <c r="P45" i="61"/>
  <c r="BK56" i="61" l="1"/>
  <c r="BK57" i="61"/>
  <c r="BW57" i="61" s="1"/>
  <c r="BK58" i="61"/>
  <c r="BW58" i="61" s="1"/>
  <c r="BK59" i="61"/>
  <c r="BW59" i="61" s="1"/>
  <c r="BK60" i="61"/>
  <c r="BW60" i="61" s="1"/>
  <c r="BK61" i="61"/>
  <c r="BK62" i="61"/>
  <c r="BW62" i="61" s="1"/>
  <c r="BK63" i="61"/>
  <c r="BW63" i="61" s="1"/>
  <c r="BK64" i="61"/>
  <c r="BC65" i="61"/>
  <c r="BB65" i="61"/>
  <c r="BA65" i="61"/>
  <c r="AZ65" i="61"/>
  <c r="AY65" i="61"/>
  <c r="AX65" i="61"/>
  <c r="BC64" i="61"/>
  <c r="BB64" i="61"/>
  <c r="BY63" i="61" s="1"/>
  <c r="BA64" i="61"/>
  <c r="AZ64" i="61"/>
  <c r="AY64" i="61"/>
  <c r="AX64" i="61"/>
  <c r="BS63" i="61" s="1"/>
  <c r="BC63" i="61"/>
  <c r="BB63" i="61"/>
  <c r="BA63" i="61"/>
  <c r="AZ63" i="61"/>
  <c r="BS62" i="61" s="1"/>
  <c r="AY63" i="61"/>
  <c r="AX63" i="61"/>
  <c r="BC62" i="61"/>
  <c r="BB62" i="61"/>
  <c r="BA62" i="61"/>
  <c r="AZ62" i="61"/>
  <c r="AY62" i="61"/>
  <c r="AX62" i="61"/>
  <c r="BC61" i="61"/>
  <c r="BB61" i="61"/>
  <c r="BA61" i="61"/>
  <c r="AZ61" i="61"/>
  <c r="AY61" i="61"/>
  <c r="AX61" i="61"/>
  <c r="BC60" i="61"/>
  <c r="BB60" i="61"/>
  <c r="BY59" i="61" s="1"/>
  <c r="BA60" i="61"/>
  <c r="AZ60" i="61"/>
  <c r="AY60" i="61"/>
  <c r="AX60" i="61"/>
  <c r="BC59" i="61"/>
  <c r="BB59" i="61"/>
  <c r="BA59" i="61"/>
  <c r="AZ59" i="61"/>
  <c r="BS58" i="61" s="1"/>
  <c r="AY59" i="61"/>
  <c r="AX59" i="61"/>
  <c r="BC58" i="61"/>
  <c r="BB58" i="61"/>
  <c r="BA58" i="61"/>
  <c r="AZ58" i="61"/>
  <c r="AY58" i="61"/>
  <c r="AX58" i="61"/>
  <c r="BC57" i="61"/>
  <c r="BB57" i="61"/>
  <c r="BA57" i="61"/>
  <c r="AZ57" i="61"/>
  <c r="AY57" i="61"/>
  <c r="AX57" i="61"/>
  <c r="BC56" i="61"/>
  <c r="BB56" i="61"/>
  <c r="BY55" i="61" s="1"/>
  <c r="BA56" i="61"/>
  <c r="AZ56" i="61"/>
  <c r="AY56" i="61"/>
  <c r="AX56" i="61"/>
  <c r="BS55" i="61" s="1"/>
  <c r="BC55" i="61"/>
  <c r="BB55" i="61"/>
  <c r="BA55" i="61"/>
  <c r="AZ55" i="61"/>
  <c r="BS54" i="61" s="1"/>
  <c r="AY55" i="61"/>
  <c r="AX55" i="61"/>
  <c r="BC54" i="61"/>
  <c r="BB54" i="61"/>
  <c r="BA54" i="61"/>
  <c r="AZ54" i="61"/>
  <c r="AY54" i="61"/>
  <c r="AX54" i="61"/>
  <c r="BC53" i="61"/>
  <c r="BB53" i="61"/>
  <c r="BA53" i="61"/>
  <c r="AZ53" i="61"/>
  <c r="AY53" i="61"/>
  <c r="AX53" i="61"/>
  <c r="BC52" i="61"/>
  <c r="BB52" i="61"/>
  <c r="BY51" i="61" s="1"/>
  <c r="BA52" i="61"/>
  <c r="AZ52" i="61"/>
  <c r="AY52" i="61"/>
  <c r="AX52" i="61"/>
  <c r="BC51" i="61"/>
  <c r="BB51" i="61"/>
  <c r="BA51" i="61"/>
  <c r="AZ51" i="61"/>
  <c r="AY51" i="61"/>
  <c r="AX51" i="61"/>
  <c r="BC50" i="61"/>
  <c r="BB50" i="61"/>
  <c r="BA50" i="61"/>
  <c r="AZ50" i="61"/>
  <c r="AY50" i="61"/>
  <c r="AX50" i="61"/>
  <c r="BC49" i="61"/>
  <c r="BB49" i="61"/>
  <c r="BA49" i="61"/>
  <c r="AZ49" i="61"/>
  <c r="AY49" i="61"/>
  <c r="AX49" i="61"/>
  <c r="BC48" i="61"/>
  <c r="BB48" i="61"/>
  <c r="BA48" i="61"/>
  <c r="AZ48" i="61"/>
  <c r="AY48" i="61"/>
  <c r="AX48" i="61"/>
  <c r="BC47" i="61"/>
  <c r="BB47" i="61"/>
  <c r="BA47" i="61"/>
  <c r="AZ47" i="61"/>
  <c r="AY47" i="61"/>
  <c r="AX47" i="61"/>
  <c r="BC46" i="61"/>
  <c r="BB46" i="61"/>
  <c r="BA46" i="61"/>
  <c r="AZ46" i="61"/>
  <c r="AY46" i="61"/>
  <c r="AX46" i="61"/>
  <c r="BS52" i="61" l="1"/>
  <c r="BY53" i="61"/>
  <c r="BS56" i="61"/>
  <c r="BY57" i="61"/>
  <c r="BS60" i="61"/>
  <c r="BY61" i="61"/>
  <c r="BS64" i="61"/>
  <c r="BS46" i="61"/>
  <c r="BS51" i="61"/>
  <c r="BS59" i="61"/>
  <c r="BY64" i="61"/>
  <c r="BY52" i="61"/>
  <c r="BY56" i="61"/>
  <c r="BY60" i="61"/>
  <c r="BS53" i="61"/>
  <c r="BY54" i="61"/>
  <c r="BS57" i="61"/>
  <c r="BY58" i="61"/>
  <c r="BS61" i="61"/>
  <c r="BY62" i="61"/>
  <c r="BY45" i="61"/>
  <c r="BY49" i="61"/>
  <c r="BY50" i="61"/>
  <c r="BY48" i="61"/>
  <c r="BY46" i="61"/>
  <c r="BY47" i="61"/>
  <c r="BS48" i="61"/>
  <c r="BS47" i="61"/>
  <c r="BS45" i="61"/>
  <c r="BS49" i="61"/>
  <c r="AO60" i="61"/>
  <c r="AO63" i="61"/>
  <c r="AO65" i="61"/>
  <c r="AO62" i="61"/>
  <c r="AO59" i="61"/>
  <c r="AO64" i="61"/>
  <c r="BW64" i="61"/>
  <c r="AO61" i="61"/>
  <c r="BW61" i="61"/>
  <c r="AO58" i="61"/>
  <c r="AO57" i="61"/>
  <c r="BW56" i="61"/>
  <c r="AW65" i="61"/>
  <c r="BS50" i="61"/>
  <c r="W41" i="61" l="1"/>
  <c r="V41" i="61"/>
  <c r="U41" i="61"/>
  <c r="T41" i="61"/>
  <c r="S41" i="61"/>
  <c r="R41" i="61"/>
  <c r="Q40" i="61"/>
  <c r="P41" i="61"/>
  <c r="O41" i="61"/>
  <c r="T31" i="61"/>
  <c r="S31" i="61"/>
  <c r="R31" i="61"/>
  <c r="Q31" i="61"/>
  <c r="P31" i="61"/>
  <c r="O31" i="61"/>
  <c r="Q57" i="61"/>
  <c r="R57" i="61"/>
  <c r="S57" i="61"/>
  <c r="T57" i="61"/>
  <c r="U57" i="61"/>
  <c r="V57" i="61"/>
  <c r="W57" i="61"/>
  <c r="O51" i="61"/>
  <c r="P51" i="61"/>
  <c r="Q51" i="61"/>
  <c r="R51" i="61"/>
  <c r="S51" i="61"/>
  <c r="T51" i="61"/>
  <c r="O52" i="61"/>
  <c r="P52" i="61"/>
  <c r="Q52" i="61"/>
  <c r="R52" i="61"/>
  <c r="S52" i="61"/>
  <c r="T52" i="61"/>
  <c r="O53" i="61"/>
  <c r="P53" i="61"/>
  <c r="Q53" i="61"/>
  <c r="R53" i="61"/>
  <c r="S53" i="61"/>
  <c r="T53" i="61"/>
  <c r="O54" i="61"/>
  <c r="P54" i="61"/>
  <c r="Q54" i="61"/>
  <c r="R54" i="61"/>
  <c r="S54" i="61"/>
  <c r="T54" i="61"/>
  <c r="O55" i="61"/>
  <c r="Q55" i="61"/>
  <c r="R55" i="61"/>
  <c r="S55" i="61"/>
  <c r="T55" i="61"/>
  <c r="U52" i="61"/>
  <c r="U53" i="61"/>
  <c r="U54" i="61"/>
  <c r="U55" i="61"/>
  <c r="U51" i="61"/>
  <c r="U48" i="61" l="1"/>
  <c r="T48" i="61"/>
  <c r="S48" i="61"/>
  <c r="R48" i="61"/>
  <c r="Q48" i="61"/>
  <c r="P48" i="61"/>
  <c r="O48" i="61"/>
  <c r="W46" i="61"/>
  <c r="V46" i="61"/>
  <c r="U46" i="61"/>
  <c r="T46" i="61"/>
  <c r="S46" i="61"/>
  <c r="R46" i="61"/>
  <c r="Q46" i="61"/>
  <c r="P46" i="61"/>
  <c r="BK55" i="61"/>
  <c r="BK54" i="61"/>
  <c r="BK53" i="61"/>
  <c r="BK52" i="61"/>
  <c r="BK51" i="61"/>
  <c r="BK50" i="61"/>
  <c r="BK49" i="61"/>
  <c r="BK48" i="61"/>
  <c r="BK47" i="61"/>
  <c r="BK46" i="61"/>
  <c r="BK45" i="61"/>
  <c r="AO46" i="61" s="1"/>
  <c r="AO51" i="61" l="1"/>
  <c r="BW50" i="61"/>
  <c r="AO56" i="61"/>
  <c r="BW55" i="61"/>
  <c r="AO53" i="61"/>
  <c r="BW52" i="61"/>
  <c r="AO49" i="61"/>
  <c r="BW48" i="61"/>
  <c r="AO54" i="61"/>
  <c r="BW53" i="61"/>
  <c r="AO52" i="61"/>
  <c r="BW51" i="61"/>
  <c r="AO48" i="61"/>
  <c r="BW47" i="61"/>
  <c r="AO55" i="61"/>
  <c r="BW54" i="61"/>
  <c r="AO47" i="61"/>
  <c r="BW46" i="61"/>
  <c r="AO50" i="61"/>
  <c r="BW49" i="61"/>
  <c r="AM85" i="61"/>
  <c r="AM84" i="61"/>
  <c r="AM83" i="61"/>
  <c r="AM82" i="61"/>
  <c r="AM81" i="61"/>
  <c r="AM80" i="61"/>
  <c r="AM79" i="61"/>
  <c r="AM78" i="61"/>
  <c r="AM77" i="61"/>
  <c r="AM76" i="61"/>
  <c r="AM75" i="61"/>
  <c r="AM74" i="61"/>
  <c r="AM73" i="61"/>
  <c r="AM72" i="61"/>
  <c r="AM71" i="61"/>
  <c r="AM70" i="61"/>
  <c r="AM69" i="61"/>
  <c r="AM68" i="61"/>
  <c r="AM67" i="61"/>
  <c r="AM66" i="61"/>
  <c r="AM65" i="61"/>
  <c r="AP65" i="61"/>
  <c r="AM64" i="61"/>
  <c r="AP64" i="61"/>
  <c r="AQ64" i="61" s="1"/>
  <c r="AN84" i="61" s="1"/>
  <c r="AW64" i="61"/>
  <c r="AW63" i="61"/>
  <c r="AM63" i="61"/>
  <c r="AP63" i="61"/>
  <c r="AW62" i="61"/>
  <c r="AM62" i="61"/>
  <c r="AP62" i="61"/>
  <c r="AM61" i="61"/>
  <c r="AP61" i="61"/>
  <c r="AW60" i="61"/>
  <c r="AP60" i="61"/>
  <c r="AR60" i="61" s="1"/>
  <c r="AO80" i="61" s="1"/>
  <c r="AM60" i="61"/>
  <c r="AM59" i="61"/>
  <c r="Q73" i="61"/>
  <c r="R73" i="61" s="1"/>
  <c r="S73" i="61" s="1"/>
  <c r="T73" i="61" s="1"/>
  <c r="U73" i="61" s="1"/>
  <c r="V73" i="61" s="1"/>
  <c r="W73" i="61" s="1"/>
  <c r="X73" i="61" s="1"/>
  <c r="Y73" i="61" s="1"/>
  <c r="AP59" i="61"/>
  <c r="AW59" i="61"/>
  <c r="AM58" i="61"/>
  <c r="AW58" i="61"/>
  <c r="AM57" i="61"/>
  <c r="O57" i="61"/>
  <c r="AW57" i="61"/>
  <c r="AM56" i="61"/>
  <c r="Y56" i="61"/>
  <c r="X56" i="61"/>
  <c r="W56" i="61"/>
  <c r="V56" i="61"/>
  <c r="U56" i="61"/>
  <c r="T56" i="61"/>
  <c r="S56" i="61"/>
  <c r="R56" i="61"/>
  <c r="Q56" i="61"/>
  <c r="O56" i="61"/>
  <c r="AM55" i="61"/>
  <c r="AW54" i="61"/>
  <c r="AM54" i="61"/>
  <c r="AW53" i="61"/>
  <c r="AM53" i="61"/>
  <c r="AW52" i="61"/>
  <c r="AM52" i="61"/>
  <c r="AW51" i="61"/>
  <c r="AM51" i="61"/>
  <c r="AM50" i="61"/>
  <c r="Y50" i="61"/>
  <c r="X50" i="61"/>
  <c r="W50" i="61"/>
  <c r="V50" i="61"/>
  <c r="U50" i="61"/>
  <c r="T50" i="61"/>
  <c r="S50" i="61"/>
  <c r="R50" i="61"/>
  <c r="Q50" i="61"/>
  <c r="O50" i="61"/>
  <c r="AW50" i="61"/>
  <c r="AM49" i="61"/>
  <c r="Y49" i="61"/>
  <c r="X49" i="61"/>
  <c r="W49" i="61"/>
  <c r="V49" i="61"/>
  <c r="U49" i="61"/>
  <c r="T49" i="61"/>
  <c r="S49" i="61"/>
  <c r="R49" i="61"/>
  <c r="Q49" i="61"/>
  <c r="P49" i="61"/>
  <c r="O49" i="61"/>
  <c r="AW49" i="61"/>
  <c r="AM48" i="61"/>
  <c r="AM47" i="61"/>
  <c r="Y47" i="61"/>
  <c r="X47" i="61"/>
  <c r="W47" i="61"/>
  <c r="V47" i="61"/>
  <c r="U47" i="61"/>
  <c r="T47" i="61"/>
  <c r="S47" i="61"/>
  <c r="R47" i="61"/>
  <c r="Q47" i="61"/>
  <c r="P47" i="61"/>
  <c r="O47" i="61"/>
  <c r="AM46" i="61"/>
  <c r="O46" i="61"/>
  <c r="BW45" i="61"/>
  <c r="AM45" i="61"/>
  <c r="Y45" i="61"/>
  <c r="X45" i="61"/>
  <c r="W45" i="61"/>
  <c r="V45" i="61"/>
  <c r="U45" i="61"/>
  <c r="T45" i="61"/>
  <c r="S45" i="61"/>
  <c r="R45" i="61"/>
  <c r="Q45" i="61"/>
  <c r="O45" i="61"/>
  <c r="X42" i="61"/>
  <c r="W42" i="61"/>
  <c r="V42" i="61"/>
  <c r="U42" i="61"/>
  <c r="T42" i="61"/>
  <c r="S42" i="61"/>
  <c r="R42" i="61"/>
  <c r="Q42" i="61"/>
  <c r="P42" i="61"/>
  <c r="O42" i="61"/>
  <c r="P39" i="61"/>
  <c r="B12" i="61" s="1"/>
  <c r="O39" i="61"/>
  <c r="Y31" i="61"/>
  <c r="K4" i="61" s="1"/>
  <c r="X31" i="61"/>
  <c r="J4" i="61" s="1"/>
  <c r="W31" i="61"/>
  <c r="I4" i="61" s="1"/>
  <c r="D42" i="59"/>
  <c r="D43" i="59" s="1"/>
  <c r="P78" i="61" l="1"/>
  <c r="AQ60" i="61"/>
  <c r="AN80" i="61" s="1"/>
  <c r="AR64" i="61"/>
  <c r="AO84" i="61" s="1"/>
  <c r="AR59" i="61"/>
  <c r="AO79" i="61" s="1"/>
  <c r="AQ59" i="61"/>
  <c r="AN79" i="61" s="1"/>
  <c r="AW48" i="61"/>
  <c r="AR65" i="61"/>
  <c r="AO85" i="61" s="1"/>
  <c r="AQ65" i="61"/>
  <c r="AN85" i="61" s="1"/>
  <c r="AR61" i="61"/>
  <c r="AO81" i="61" s="1"/>
  <c r="AQ61" i="61"/>
  <c r="AN81" i="61" s="1"/>
  <c r="AW56" i="61"/>
  <c r="AQ62" i="61"/>
  <c r="AN82" i="61" s="1"/>
  <c r="AR62" i="61"/>
  <c r="AO82" i="61" s="1"/>
  <c r="AW47" i="61"/>
  <c r="AW46" i="61"/>
  <c r="AW55" i="61"/>
  <c r="AR63" i="61"/>
  <c r="AO83" i="61" s="1"/>
  <c r="AQ63" i="61"/>
  <c r="AN83" i="61" s="1"/>
  <c r="AW61" i="61"/>
  <c r="C312" i="58"/>
  <c r="Y78" i="61" l="1"/>
  <c r="O78" i="61"/>
  <c r="N78" i="61" s="1"/>
  <c r="P480" i="59"/>
  <c r="O480" i="59"/>
  <c r="M582" i="59" l="1"/>
  <c r="K582" i="59"/>
  <c r="F582" i="59"/>
  <c r="F405" i="59"/>
  <c r="M183" i="59" l="1"/>
  <c r="U473" i="59"/>
  <c r="T473" i="59"/>
  <c r="J473" i="59"/>
  <c r="I473" i="59"/>
  <c r="D638" i="58"/>
  <c r="D639" i="58" s="1"/>
  <c r="E638" i="58"/>
  <c r="E639" i="58" s="1"/>
  <c r="C638" i="58"/>
  <c r="C639" i="58" s="1"/>
  <c r="D635" i="58"/>
  <c r="E635" i="58"/>
  <c r="C635" i="58"/>
  <c r="E621" i="58" l="1"/>
  <c r="E632" i="58" s="1"/>
  <c r="D621" i="58"/>
  <c r="D632" i="58" s="1"/>
  <c r="C621" i="58"/>
  <c r="C632" i="58" s="1"/>
  <c r="G346" i="58" l="1"/>
  <c r="G344" i="58"/>
  <c r="H344" i="58"/>
  <c r="I344" i="58"/>
  <c r="G345" i="58"/>
  <c r="H345" i="58"/>
  <c r="I345" i="58"/>
  <c r="F344" i="58"/>
  <c r="F345" i="58"/>
  <c r="C346" i="58"/>
  <c r="D346" i="58" s="1"/>
  <c r="C344" i="58"/>
  <c r="D344" i="58" s="1"/>
  <c r="C345" i="58"/>
  <c r="D345" i="58" s="1"/>
  <c r="F338" i="58"/>
  <c r="G338" i="58"/>
  <c r="H338" i="58"/>
  <c r="I338" i="58"/>
  <c r="F339" i="58"/>
  <c r="G339" i="58"/>
  <c r="H339" i="58"/>
  <c r="I339" i="58"/>
  <c r="H332" i="58"/>
  <c r="G333" i="58"/>
  <c r="G334" i="58"/>
  <c r="G335" i="58"/>
  <c r="G336" i="58"/>
  <c r="G337" i="58"/>
  <c r="F333" i="58"/>
  <c r="F334" i="58"/>
  <c r="F335" i="58"/>
  <c r="F336" i="58"/>
  <c r="F337" i="58"/>
  <c r="I337" i="58"/>
  <c r="H337" i="58"/>
  <c r="C337" i="58"/>
  <c r="D337" i="58" s="1"/>
  <c r="C338" i="58"/>
  <c r="D338" i="58" s="1"/>
  <c r="B87" i="22" l="1"/>
  <c r="B88" i="22"/>
  <c r="B89" i="22"/>
  <c r="B90" i="22"/>
  <c r="B91" i="22"/>
  <c r="B92" i="22"/>
  <c r="B93" i="22"/>
  <c r="B94" i="22"/>
  <c r="B95" i="22"/>
  <c r="B96" i="22"/>
  <c r="B97" i="22"/>
  <c r="B98" i="22"/>
  <c r="B99" i="22"/>
  <c r="B100" i="22"/>
  <c r="B101" i="22"/>
  <c r="B102" i="22"/>
  <c r="B103" i="22"/>
  <c r="B104" i="22"/>
  <c r="B105" i="22"/>
  <c r="B86" i="22"/>
  <c r="B33" i="22"/>
  <c r="I75" i="59"/>
  <c r="I76" i="59"/>
  <c r="I77" i="59"/>
  <c r="I78" i="59"/>
  <c r="I79" i="59"/>
  <c r="I80" i="59"/>
  <c r="I81" i="59"/>
  <c r="I82" i="59"/>
  <c r="I83" i="59"/>
  <c r="I84" i="59"/>
  <c r="I85" i="59"/>
  <c r="I86" i="59"/>
  <c r="I87" i="59"/>
  <c r="I88" i="59"/>
  <c r="I89" i="59"/>
  <c r="I90" i="59"/>
  <c r="I91" i="59"/>
  <c r="I92" i="59"/>
  <c r="I93" i="59"/>
  <c r="I94" i="59"/>
  <c r="H76" i="59"/>
  <c r="H77" i="59"/>
  <c r="H78" i="59"/>
  <c r="H79" i="59"/>
  <c r="H80" i="59"/>
  <c r="H81" i="59"/>
  <c r="H82" i="59"/>
  <c r="H83" i="59"/>
  <c r="H84" i="59"/>
  <c r="H85" i="59"/>
  <c r="H86" i="59"/>
  <c r="H87" i="59"/>
  <c r="H88" i="59"/>
  <c r="H89" i="59"/>
  <c r="H90" i="59"/>
  <c r="H91" i="59"/>
  <c r="H92" i="59"/>
  <c r="H93" i="59"/>
  <c r="H94" i="59"/>
  <c r="H75" i="59"/>
  <c r="B60" i="22" l="1"/>
  <c r="B114" i="22"/>
  <c r="E117" i="59"/>
  <c r="G117" i="59" s="1"/>
  <c r="G370" i="59"/>
  <c r="G341" i="59"/>
  <c r="E109" i="59"/>
  <c r="G109" i="59" s="1"/>
  <c r="G362" i="59"/>
  <c r="G333" i="59"/>
  <c r="G372" i="59"/>
  <c r="G343" i="59"/>
  <c r="E119" i="59"/>
  <c r="G119" i="59" s="1"/>
  <c r="G368" i="59"/>
  <c r="G339" i="59"/>
  <c r="E115" i="59"/>
  <c r="G115" i="59" s="1"/>
  <c r="G364" i="59"/>
  <c r="G335" i="59"/>
  <c r="E111" i="59"/>
  <c r="G111" i="59" s="1"/>
  <c r="G360" i="59"/>
  <c r="G331" i="59"/>
  <c r="E107" i="59"/>
  <c r="G107" i="59" s="1"/>
  <c r="G356" i="59"/>
  <c r="G327" i="59"/>
  <c r="E103" i="59"/>
  <c r="G103" i="59" s="1"/>
  <c r="G342" i="59"/>
  <c r="G371" i="59"/>
  <c r="E118" i="59"/>
  <c r="G118" i="59" s="1"/>
  <c r="G338" i="59"/>
  <c r="E114" i="59"/>
  <c r="G114" i="59" s="1"/>
  <c r="G367" i="59"/>
  <c r="G334" i="59"/>
  <c r="E110" i="59"/>
  <c r="G110" i="59" s="1"/>
  <c r="G363" i="59"/>
  <c r="G330" i="59"/>
  <c r="E106" i="59"/>
  <c r="G106" i="59" s="1"/>
  <c r="G359" i="59"/>
  <c r="E113" i="59"/>
  <c r="G113" i="59" s="1"/>
  <c r="G366" i="59"/>
  <c r="G337" i="59"/>
  <c r="E105" i="59"/>
  <c r="G105" i="59" s="1"/>
  <c r="G358" i="59"/>
  <c r="G329" i="59"/>
  <c r="G369" i="59"/>
  <c r="G340" i="59"/>
  <c r="E116" i="59"/>
  <c r="G116" i="59" s="1"/>
  <c r="G365" i="59"/>
  <c r="G336" i="59"/>
  <c r="E112" i="59"/>
  <c r="G112" i="59" s="1"/>
  <c r="G361" i="59"/>
  <c r="G332" i="59"/>
  <c r="E108" i="59"/>
  <c r="G108" i="59" s="1"/>
  <c r="G357" i="59"/>
  <c r="G328" i="59"/>
  <c r="E104" i="59"/>
  <c r="G104" i="59" s="1"/>
  <c r="G355" i="59"/>
  <c r="G326" i="59"/>
  <c r="E102" i="59"/>
  <c r="G102" i="59" s="1"/>
  <c r="G354" i="59"/>
  <c r="E101" i="59"/>
  <c r="G101" i="59" s="1"/>
  <c r="G325" i="59"/>
  <c r="G324" i="59"/>
  <c r="E100" i="59"/>
  <c r="G100" i="59" s="1"/>
  <c r="G353" i="59"/>
  <c r="I353" i="59" s="1"/>
  <c r="C606" i="58"/>
  <c r="C607" i="58"/>
  <c r="B604" i="58"/>
  <c r="B605" i="58"/>
  <c r="B606" i="58"/>
  <c r="B607" i="58"/>
  <c r="B608" i="58"/>
  <c r="B603" i="58"/>
  <c r="B521" i="58"/>
  <c r="I487" i="58"/>
  <c r="I488" i="58"/>
  <c r="I489" i="58"/>
  <c r="I490" i="58"/>
  <c r="I486" i="58"/>
  <c r="B370" i="58"/>
  <c r="F30" i="59" l="1"/>
  <c r="G71" i="58" l="1"/>
  <c r="D76" i="58" s="1"/>
  <c r="D69" i="58"/>
  <c r="E69" i="58"/>
  <c r="F69" i="58"/>
  <c r="C69" i="58"/>
  <c r="H69" i="58"/>
  <c r="G69" i="58"/>
  <c r="R55" i="58"/>
  <c r="C73" i="58" l="1"/>
  <c r="C77" i="58" s="1"/>
  <c r="C71" i="58"/>
  <c r="C76" i="58" s="1"/>
  <c r="G73" i="58"/>
  <c r="D77" i="58" s="1"/>
  <c r="G92" i="57"/>
  <c r="G89" i="57"/>
  <c r="G88" i="57"/>
  <c r="C342" i="58"/>
  <c r="H333" i="58"/>
  <c r="I333" i="58"/>
  <c r="H334" i="58"/>
  <c r="I334" i="58"/>
  <c r="H335" i="58"/>
  <c r="I335" i="58"/>
  <c r="H336" i="58"/>
  <c r="I336" i="58"/>
  <c r="H340" i="58"/>
  <c r="I340" i="58"/>
  <c r="H341" i="58"/>
  <c r="I341" i="58"/>
  <c r="H342" i="58"/>
  <c r="I342" i="58"/>
  <c r="H343" i="58"/>
  <c r="I343" i="58"/>
  <c r="H346" i="58"/>
  <c r="I346" i="58"/>
  <c r="H347" i="58"/>
  <c r="I347" i="58"/>
  <c r="H348" i="58"/>
  <c r="I348" i="58"/>
  <c r="I332" i="58"/>
  <c r="D4" i="61" l="1"/>
  <c r="F4" i="61"/>
  <c r="E4" i="61"/>
  <c r="O80" i="57"/>
  <c r="C4" i="61" l="1"/>
  <c r="C14" i="61"/>
  <c r="D14" i="61"/>
  <c r="E14" i="61"/>
  <c r="G14" i="61"/>
  <c r="B14" i="61"/>
  <c r="H14" i="61"/>
  <c r="F14" i="61"/>
  <c r="I14" i="61"/>
  <c r="B4" i="61"/>
  <c r="J56" i="57"/>
  <c r="G340" i="58"/>
  <c r="G341" i="58"/>
  <c r="G342" i="58"/>
  <c r="G343" i="58"/>
  <c r="G347" i="58"/>
  <c r="G348" i="58"/>
  <c r="G332" i="58"/>
  <c r="F340" i="58"/>
  <c r="F341" i="58"/>
  <c r="F342" i="58"/>
  <c r="F343" i="58"/>
  <c r="F346" i="58"/>
  <c r="F347" i="58"/>
  <c r="F348" i="58"/>
  <c r="F332" i="58"/>
  <c r="C347" i="58"/>
  <c r="C348" i="58"/>
  <c r="C340" i="58"/>
  <c r="C341" i="58"/>
  <c r="D341" i="58" s="1"/>
  <c r="D342" i="58"/>
  <c r="C343" i="58"/>
  <c r="D343" i="58" s="1"/>
  <c r="C339" i="58"/>
  <c r="D339" i="58" s="1"/>
  <c r="C333" i="58"/>
  <c r="D333" i="58" s="1"/>
  <c r="C334" i="58"/>
  <c r="D334" i="58" s="1"/>
  <c r="C335" i="58"/>
  <c r="D335" i="58" s="1"/>
  <c r="C336" i="58"/>
  <c r="D336" i="58" s="1"/>
  <c r="C545" i="58"/>
  <c r="E245" i="58" l="1"/>
  <c r="E218" i="58"/>
  <c r="C390" i="58" l="1"/>
  <c r="D366" i="58"/>
  <c r="C368" i="58"/>
  <c r="C367" i="58"/>
  <c r="C366" i="58"/>
  <c r="S55" i="58" l="1"/>
  <c r="T55" i="58"/>
  <c r="U55" i="58"/>
  <c r="V55" i="58"/>
  <c r="R58" i="58" l="1"/>
  <c r="M55" i="58" s="1"/>
  <c r="E55" i="58" s="1"/>
  <c r="U58" i="58"/>
  <c r="N55" i="58" s="1"/>
  <c r="F55" i="58" l="1"/>
  <c r="G55" i="58"/>
  <c r="C55" i="58" s="1"/>
  <c r="H55" i="58"/>
  <c r="B162" i="59" l="1"/>
  <c r="B163" i="59"/>
  <c r="B164" i="59"/>
  <c r="B165" i="59"/>
  <c r="B161" i="59"/>
  <c r="B173" i="59"/>
  <c r="B174" i="59"/>
  <c r="B175" i="59"/>
  <c r="B176" i="59"/>
  <c r="B172" i="59"/>
  <c r="B195" i="59"/>
  <c r="B196" i="59"/>
  <c r="B197" i="59"/>
  <c r="B198" i="59"/>
  <c r="B194" i="59"/>
  <c r="B184" i="59"/>
  <c r="B185" i="59"/>
  <c r="B186" i="59"/>
  <c r="B187" i="59"/>
  <c r="B183" i="59"/>
  <c r="D308" i="59"/>
  <c r="D309" i="59"/>
  <c r="D310" i="59"/>
  <c r="D311" i="59"/>
  <c r="D307" i="59"/>
  <c r="C307" i="59"/>
  <c r="C308" i="59"/>
  <c r="C309" i="59"/>
  <c r="C310" i="59"/>
  <c r="C311" i="59"/>
  <c r="E308" i="59"/>
  <c r="F308" i="59"/>
  <c r="E309" i="59"/>
  <c r="F309" i="59"/>
  <c r="E310" i="59"/>
  <c r="F310" i="59"/>
  <c r="E311" i="59"/>
  <c r="F311" i="59"/>
  <c r="F307" i="59"/>
  <c r="E307" i="59"/>
  <c r="B308" i="59"/>
  <c r="B309" i="59"/>
  <c r="B310" i="59"/>
  <c r="B311" i="59"/>
  <c r="B307" i="59"/>
  <c r="E298" i="59"/>
  <c r="E299" i="59"/>
  <c r="E300" i="59"/>
  <c r="E301" i="59"/>
  <c r="L301" i="59" s="1"/>
  <c r="E297" i="59"/>
  <c r="L297" i="59" s="1"/>
  <c r="D298" i="59"/>
  <c r="D299" i="59"/>
  <c r="D300" i="59"/>
  <c r="M300" i="59" s="1"/>
  <c r="D301" i="59"/>
  <c r="D297" i="59"/>
  <c r="H297" i="59"/>
  <c r="I297" i="59"/>
  <c r="H298" i="59"/>
  <c r="I298" i="59"/>
  <c r="H299" i="59"/>
  <c r="I299" i="59"/>
  <c r="H300" i="59"/>
  <c r="I300" i="59"/>
  <c r="H301" i="59"/>
  <c r="I301" i="59"/>
  <c r="B298" i="59"/>
  <c r="C298" i="59"/>
  <c r="F298" i="59"/>
  <c r="B299" i="59"/>
  <c r="C299" i="59"/>
  <c r="F299" i="59"/>
  <c r="B300" i="59"/>
  <c r="C300" i="59"/>
  <c r="F300" i="59"/>
  <c r="B301" i="59"/>
  <c r="C301" i="59"/>
  <c r="F301" i="59"/>
  <c r="C297" i="59"/>
  <c r="F297" i="59"/>
  <c r="B297" i="59"/>
  <c r="K310" i="59" l="1"/>
  <c r="K307" i="59"/>
  <c r="K309" i="59"/>
  <c r="N297" i="59"/>
  <c r="K311" i="59"/>
  <c r="N301" i="59"/>
  <c r="Q301" i="59" s="1"/>
  <c r="N300" i="59"/>
  <c r="Q300" i="59" s="1"/>
  <c r="K308" i="59"/>
  <c r="N299" i="59"/>
  <c r="N298" i="59"/>
  <c r="D254" i="59" l="1"/>
  <c r="E254" i="59"/>
  <c r="H254" i="59"/>
  <c r="I254" i="59"/>
  <c r="C254" i="59"/>
  <c r="C463" i="58"/>
  <c r="G254" i="59" s="1"/>
  <c r="C464" i="58" l="1"/>
  <c r="F254" i="59" s="1"/>
  <c r="B229" i="59"/>
  <c r="V187" i="59"/>
  <c r="V186" i="59"/>
  <c r="V185" i="59"/>
  <c r="V184" i="59"/>
  <c r="V183" i="59"/>
  <c r="C608" i="58"/>
  <c r="C605" i="58"/>
  <c r="C604" i="58"/>
  <c r="C603" i="58"/>
  <c r="C601" i="58"/>
  <c r="C602" i="58"/>
  <c r="C600" i="58"/>
  <c r="C195" i="59"/>
  <c r="D195" i="59"/>
  <c r="C196" i="59"/>
  <c r="D196" i="59"/>
  <c r="C197" i="59"/>
  <c r="D197" i="59"/>
  <c r="C198" i="59"/>
  <c r="D198" i="59"/>
  <c r="D194" i="59"/>
  <c r="C194" i="59"/>
  <c r="E194" i="59"/>
  <c r="R194" i="59" s="1"/>
  <c r="E195" i="59"/>
  <c r="E196" i="59"/>
  <c r="E197" i="59"/>
  <c r="R197" i="59" s="1"/>
  <c r="E198" i="59"/>
  <c r="J198" i="59" s="1"/>
  <c r="M187" i="59"/>
  <c r="M184" i="59"/>
  <c r="M185" i="59"/>
  <c r="M186" i="59"/>
  <c r="D184" i="59"/>
  <c r="E184" i="59"/>
  <c r="D185" i="59"/>
  <c r="E185" i="59"/>
  <c r="L185" i="59" s="1"/>
  <c r="D186" i="59"/>
  <c r="E186" i="59"/>
  <c r="L186" i="59" s="1"/>
  <c r="D187" i="59"/>
  <c r="E187" i="59"/>
  <c r="L187" i="59" s="1"/>
  <c r="E183" i="59"/>
  <c r="D183" i="59"/>
  <c r="C184" i="59"/>
  <c r="C185" i="59"/>
  <c r="C186" i="59"/>
  <c r="C187" i="59"/>
  <c r="C183" i="59"/>
  <c r="D161" i="59"/>
  <c r="J194" i="59" l="1"/>
  <c r="R195" i="59"/>
  <c r="R198" i="59"/>
  <c r="U186" i="59"/>
  <c r="W186" i="59" s="1"/>
  <c r="J197" i="59"/>
  <c r="U185" i="59"/>
  <c r="W185" i="59" s="1"/>
  <c r="R196" i="59"/>
  <c r="U187" i="59"/>
  <c r="W187" i="59" s="1"/>
  <c r="J195" i="59"/>
  <c r="J196" i="59"/>
  <c r="N186" i="59"/>
  <c r="N185" i="59"/>
  <c r="N187" i="59"/>
  <c r="F163" i="59"/>
  <c r="F162" i="59"/>
  <c r="P162" i="59" s="1"/>
  <c r="F164" i="59"/>
  <c r="F165" i="59"/>
  <c r="F161" i="59"/>
  <c r="B127" i="59"/>
  <c r="D173" i="59"/>
  <c r="E173" i="59"/>
  <c r="D174" i="59"/>
  <c r="E174" i="59"/>
  <c r="D175" i="59"/>
  <c r="E175" i="59"/>
  <c r="D176" i="59"/>
  <c r="E176" i="59"/>
  <c r="E172" i="59"/>
  <c r="D172" i="59"/>
  <c r="D162" i="59"/>
  <c r="E162" i="59"/>
  <c r="D163" i="59"/>
  <c r="E163" i="59"/>
  <c r="D164" i="59"/>
  <c r="E164" i="59"/>
  <c r="D165" i="59"/>
  <c r="E165" i="59"/>
  <c r="E161" i="59"/>
  <c r="C161" i="59" l="1"/>
  <c r="H161" i="59"/>
  <c r="F183" i="59" s="1"/>
  <c r="I161" i="59"/>
  <c r="G183" i="59" s="1"/>
  <c r="C162" i="59"/>
  <c r="H162" i="59"/>
  <c r="F184" i="59" s="1"/>
  <c r="I162" i="59"/>
  <c r="G184" i="59" s="1"/>
  <c r="C163" i="59"/>
  <c r="H163" i="59"/>
  <c r="F185" i="59" s="1"/>
  <c r="I163" i="59"/>
  <c r="G185" i="59" s="1"/>
  <c r="C164" i="59"/>
  <c r="H164" i="59"/>
  <c r="F186" i="59" s="1"/>
  <c r="I164" i="59"/>
  <c r="G186" i="59" s="1"/>
  <c r="C165" i="59"/>
  <c r="H165" i="59"/>
  <c r="F187" i="59" s="1"/>
  <c r="I165" i="59"/>
  <c r="G187" i="59" s="1"/>
  <c r="M194" i="59" l="1"/>
  <c r="U194" i="59"/>
  <c r="U198" i="59"/>
  <c r="M198" i="59"/>
  <c r="AG165" i="59"/>
  <c r="AG164" i="59"/>
  <c r="P165" i="59"/>
  <c r="P164" i="59"/>
  <c r="B248" i="58" l="1"/>
  <c r="B221" i="58"/>
  <c r="H127" i="59"/>
  <c r="C249" i="58" l="1"/>
  <c r="C248" i="58"/>
  <c r="B249" i="58"/>
  <c r="C222" i="58" l="1"/>
  <c r="B222" i="58"/>
  <c r="E95" i="57"/>
  <c r="E94" i="57"/>
  <c r="N89" i="57" l="1"/>
  <c r="C544" i="58"/>
  <c r="Q298" i="59" s="1"/>
  <c r="F381" i="58" l="1"/>
  <c r="E366" i="58" l="1"/>
  <c r="B288" i="58"/>
  <c r="B289" i="58"/>
  <c r="B290" i="58"/>
  <c r="B291" i="58"/>
  <c r="B287" i="58"/>
  <c r="B273" i="58"/>
  <c r="B274" i="58"/>
  <c r="B275" i="58"/>
  <c r="B276" i="58"/>
  <c r="B277" i="58"/>
  <c r="C291" i="58"/>
  <c r="C290" i="58"/>
  <c r="C289" i="58"/>
  <c r="C288" i="58"/>
  <c r="C287" i="58"/>
  <c r="B255" i="58"/>
  <c r="B256" i="58"/>
  <c r="B257" i="58"/>
  <c r="B258" i="58"/>
  <c r="B254" i="58"/>
  <c r="B250" i="58"/>
  <c r="B251" i="58"/>
  <c r="B252" i="58"/>
  <c r="B253" i="58"/>
  <c r="C277" i="58"/>
  <c r="C276" i="58"/>
  <c r="C275" i="58"/>
  <c r="C274" i="58"/>
  <c r="C273" i="58"/>
  <c r="B228" i="58"/>
  <c r="B229" i="58"/>
  <c r="B230" i="58"/>
  <c r="B231" i="58"/>
  <c r="B227" i="58"/>
  <c r="B223" i="58"/>
  <c r="B224" i="58"/>
  <c r="B225" i="58"/>
  <c r="B226" i="58"/>
  <c r="C258" i="58"/>
  <c r="C257" i="58"/>
  <c r="C256" i="58"/>
  <c r="C255" i="58"/>
  <c r="C254" i="58"/>
  <c r="C253" i="58"/>
  <c r="C252" i="58"/>
  <c r="C251" i="58"/>
  <c r="C250" i="58"/>
  <c r="D248" i="58" l="1"/>
  <c r="F248" i="58" s="1"/>
  <c r="D221" i="58"/>
  <c r="D273" i="58"/>
  <c r="E273" i="58" s="1"/>
  <c r="D287" i="58"/>
  <c r="E287" i="58" s="1"/>
  <c r="D274" i="58"/>
  <c r="D288" i="58"/>
  <c r="E248" i="58" l="1"/>
  <c r="F221" i="58"/>
  <c r="E288" i="58"/>
  <c r="E274" i="58"/>
  <c r="J128" i="59"/>
  <c r="J129" i="59"/>
  <c r="J130" i="59"/>
  <c r="J131" i="59"/>
  <c r="J132" i="59"/>
  <c r="J133" i="59"/>
  <c r="J134" i="59"/>
  <c r="J135" i="59"/>
  <c r="J136" i="59"/>
  <c r="J137" i="59"/>
  <c r="J138" i="59"/>
  <c r="J139" i="59"/>
  <c r="J140" i="59"/>
  <c r="J141" i="59"/>
  <c r="J142" i="59"/>
  <c r="J143" i="59"/>
  <c r="J144" i="59"/>
  <c r="J145" i="59"/>
  <c r="J146" i="59"/>
  <c r="J127" i="59"/>
  <c r="K405" i="59"/>
  <c r="D249" i="58"/>
  <c r="D289" i="58"/>
  <c r="D275" i="58"/>
  <c r="E249" i="58" l="1"/>
  <c r="F249" i="58"/>
  <c r="E289" i="58"/>
  <c r="E275" i="58"/>
  <c r="C172" i="59"/>
  <c r="Q172" i="59" s="1"/>
  <c r="G90" i="57"/>
  <c r="G91" i="57"/>
  <c r="D250" i="58"/>
  <c r="D290" i="58"/>
  <c r="D276" i="58"/>
  <c r="F250" i="58" l="1"/>
  <c r="E250" i="58"/>
  <c r="E290" i="58"/>
  <c r="E276" i="58"/>
  <c r="C424" i="58"/>
  <c r="C423" i="58"/>
  <c r="C422" i="58"/>
  <c r="C421" i="58"/>
  <c r="C547" i="58"/>
  <c r="C546" i="58"/>
  <c r="D251" i="58"/>
  <c r="D291" i="58"/>
  <c r="D277" i="58"/>
  <c r="Q299" i="59" l="1"/>
  <c r="Q297" i="59"/>
  <c r="E251" i="58"/>
  <c r="F251" i="58"/>
  <c r="E291" i="58"/>
  <c r="E277" i="58"/>
  <c r="M405" i="59"/>
  <c r="D252" i="58"/>
  <c r="F252" i="58" l="1"/>
  <c r="E252" i="58"/>
  <c r="D528" i="58"/>
  <c r="D529" i="58"/>
  <c r="D530" i="58"/>
  <c r="D253" i="58"/>
  <c r="F253" i="58" l="1"/>
  <c r="E253" i="58"/>
  <c r="D517" i="58"/>
  <c r="D519" i="58"/>
  <c r="C519" i="58"/>
  <c r="D518" i="58"/>
  <c r="C518" i="58"/>
  <c r="C517" i="58"/>
  <c r="M267" i="59"/>
  <c r="D498" i="59" s="1"/>
  <c r="M268" i="59"/>
  <c r="D499" i="59" s="1"/>
  <c r="M269" i="59"/>
  <c r="D500" i="59" s="1"/>
  <c r="M270" i="59"/>
  <c r="D501" i="59" s="1"/>
  <c r="M271" i="59"/>
  <c r="D502" i="59" s="1"/>
  <c r="M272" i="59"/>
  <c r="D503" i="59" s="1"/>
  <c r="M273" i="59"/>
  <c r="D504" i="59" s="1"/>
  <c r="M274" i="59"/>
  <c r="D505" i="59" s="1"/>
  <c r="M275" i="59"/>
  <c r="D506" i="59" s="1"/>
  <c r="M276" i="59"/>
  <c r="D507" i="59" s="1"/>
  <c r="M277" i="59"/>
  <c r="D508" i="59" s="1"/>
  <c r="M278" i="59"/>
  <c r="D509" i="59" s="1"/>
  <c r="M279" i="59"/>
  <c r="D510" i="59" s="1"/>
  <c r="M280" i="59"/>
  <c r="D511" i="59" s="1"/>
  <c r="M281" i="59"/>
  <c r="D512" i="59" s="1"/>
  <c r="M282" i="59"/>
  <c r="D513" i="59" s="1"/>
  <c r="M283" i="59"/>
  <c r="D514" i="59" s="1"/>
  <c r="M284" i="59"/>
  <c r="D515" i="59" s="1"/>
  <c r="M285" i="59"/>
  <c r="D516" i="59" s="1"/>
  <c r="M266" i="59"/>
  <c r="D497" i="59" s="1"/>
  <c r="K267" i="59"/>
  <c r="B498" i="59" s="1"/>
  <c r="K268" i="59"/>
  <c r="B499" i="59" s="1"/>
  <c r="K269" i="59"/>
  <c r="B500" i="59" s="1"/>
  <c r="K270" i="59"/>
  <c r="B501" i="59" s="1"/>
  <c r="K271" i="59"/>
  <c r="B502" i="59" s="1"/>
  <c r="K272" i="59"/>
  <c r="B503" i="59" s="1"/>
  <c r="K273" i="59"/>
  <c r="B504" i="59" s="1"/>
  <c r="K274" i="59"/>
  <c r="B505" i="59" s="1"/>
  <c r="K275" i="59"/>
  <c r="B506" i="59" s="1"/>
  <c r="K276" i="59"/>
  <c r="B507" i="59" s="1"/>
  <c r="K277" i="59"/>
  <c r="B508" i="59" s="1"/>
  <c r="K278" i="59"/>
  <c r="B509" i="59" s="1"/>
  <c r="K279" i="59"/>
  <c r="B510" i="59" s="1"/>
  <c r="K280" i="59"/>
  <c r="B511" i="59" s="1"/>
  <c r="K281" i="59"/>
  <c r="B512" i="59" s="1"/>
  <c r="K282" i="59"/>
  <c r="B513" i="59" s="1"/>
  <c r="K283" i="59"/>
  <c r="B514" i="59" s="1"/>
  <c r="K284" i="59"/>
  <c r="B515" i="59" s="1"/>
  <c r="K285" i="59"/>
  <c r="B516" i="59" s="1"/>
  <c r="K266" i="59"/>
  <c r="B497" i="59" s="1"/>
  <c r="J267" i="59"/>
  <c r="J268" i="59"/>
  <c r="J269" i="59"/>
  <c r="J270" i="59"/>
  <c r="J271" i="59"/>
  <c r="J272" i="59"/>
  <c r="J273" i="59"/>
  <c r="J274" i="59"/>
  <c r="J275" i="59"/>
  <c r="J276" i="59"/>
  <c r="J277" i="59"/>
  <c r="J278" i="59"/>
  <c r="J279" i="59"/>
  <c r="J280" i="59"/>
  <c r="J281" i="59"/>
  <c r="J282" i="59"/>
  <c r="J283" i="59"/>
  <c r="J284" i="59"/>
  <c r="J285" i="59"/>
  <c r="J266" i="59"/>
  <c r="I267" i="59"/>
  <c r="I268" i="59"/>
  <c r="I269" i="59"/>
  <c r="I270" i="59"/>
  <c r="I271" i="59"/>
  <c r="I272" i="59"/>
  <c r="I273" i="59"/>
  <c r="I274" i="59"/>
  <c r="I275" i="59"/>
  <c r="I276" i="59"/>
  <c r="I277" i="59"/>
  <c r="I278" i="59"/>
  <c r="I279" i="59"/>
  <c r="I280" i="59"/>
  <c r="I281" i="59"/>
  <c r="I282" i="59"/>
  <c r="I283" i="59"/>
  <c r="I284" i="59"/>
  <c r="I285" i="59"/>
  <c r="I266" i="59"/>
  <c r="E229" i="59"/>
  <c r="D230" i="59"/>
  <c r="D231" i="59"/>
  <c r="D232" i="59"/>
  <c r="D233" i="59"/>
  <c r="D234" i="59"/>
  <c r="D235" i="59"/>
  <c r="D236" i="59"/>
  <c r="D237" i="59"/>
  <c r="D238" i="59"/>
  <c r="D229" i="59"/>
  <c r="B221" i="59"/>
  <c r="B222" i="59"/>
  <c r="B223" i="59"/>
  <c r="B224" i="59"/>
  <c r="B220" i="59"/>
  <c r="D254" i="58"/>
  <c r="F254" i="58" l="1"/>
  <c r="E254" i="58"/>
  <c r="C522" i="58"/>
  <c r="C532" i="58" s="1"/>
  <c r="D532" i="58" s="1"/>
  <c r="D255" i="58"/>
  <c r="C523" i="58" l="1"/>
  <c r="C535" i="58"/>
  <c r="D535" i="58" s="1"/>
  <c r="C531" i="58"/>
  <c r="D531" i="58" s="1"/>
  <c r="E255" i="58"/>
  <c r="F255" i="58"/>
  <c r="D256" i="58"/>
  <c r="F256" i="58" l="1"/>
  <c r="E256" i="58"/>
  <c r="D257" i="58"/>
  <c r="F257" i="58" l="1"/>
  <c r="E257" i="58"/>
  <c r="AC176" i="59"/>
  <c r="AB176" i="59"/>
  <c r="AC175" i="59"/>
  <c r="AB175" i="59"/>
  <c r="AC174" i="59"/>
  <c r="AB174" i="59"/>
  <c r="AC173" i="59"/>
  <c r="AB173" i="59"/>
  <c r="AC172" i="59"/>
  <c r="AB172" i="59"/>
  <c r="B210" i="59"/>
  <c r="B211" i="59"/>
  <c r="B212" i="59"/>
  <c r="B213" i="59"/>
  <c r="B209" i="59"/>
  <c r="M173" i="59"/>
  <c r="N173" i="59"/>
  <c r="M174" i="59"/>
  <c r="N174" i="59"/>
  <c r="M175" i="59"/>
  <c r="N175" i="59"/>
  <c r="M176" i="59"/>
  <c r="N176" i="59"/>
  <c r="N172" i="59"/>
  <c r="M172" i="59"/>
  <c r="D258" i="58"/>
  <c r="E258" i="58" l="1"/>
  <c r="F258" i="58"/>
  <c r="F259" i="58" s="1"/>
  <c r="C173" i="59"/>
  <c r="C174" i="59"/>
  <c r="C175" i="59"/>
  <c r="C176" i="59"/>
  <c r="D396" i="58"/>
  <c r="F260" i="58" l="1"/>
  <c r="W71" i="57" s="1"/>
  <c r="Q175" i="59"/>
  <c r="Q176" i="59"/>
  <c r="Q173" i="59"/>
  <c r="Q174" i="59"/>
  <c r="H385" i="58"/>
  <c r="H381" i="58"/>
  <c r="H382" i="58"/>
  <c r="AF175" i="59"/>
  <c r="AF172" i="59"/>
  <c r="AF176" i="59"/>
  <c r="AF173" i="59"/>
  <c r="AF174" i="59"/>
  <c r="W66" i="57" l="1"/>
  <c r="W60" i="57"/>
  <c r="W63" i="57"/>
  <c r="W65" i="57"/>
  <c r="W58" i="57"/>
  <c r="W56" i="57"/>
  <c r="W67" i="57"/>
  <c r="W69" i="57"/>
  <c r="W64" i="57"/>
  <c r="W59" i="57"/>
  <c r="W68" i="57"/>
  <c r="W70" i="57"/>
  <c r="W73" i="57"/>
  <c r="W72" i="57"/>
  <c r="W54" i="57"/>
  <c r="W61" i="57"/>
  <c r="W55" i="57"/>
  <c r="W62" i="57"/>
  <c r="W57" i="57"/>
  <c r="E127" i="59"/>
  <c r="D127" i="59"/>
  <c r="F382" i="58"/>
  <c r="C396" i="58"/>
  <c r="G381" i="58" s="1"/>
  <c r="G81" i="57"/>
  <c r="G298" i="59" s="1"/>
  <c r="G82" i="57"/>
  <c r="G299" i="59" s="1"/>
  <c r="G83" i="57"/>
  <c r="G300" i="59" s="1"/>
  <c r="G84" i="57"/>
  <c r="G301" i="59" s="1"/>
  <c r="G162" i="59" l="1"/>
  <c r="G165" i="59"/>
  <c r="G164" i="59"/>
  <c r="G163" i="59"/>
  <c r="F127" i="59"/>
  <c r="G127" i="59"/>
  <c r="G382" i="58"/>
  <c r="F368" i="58" l="1"/>
  <c r="F367" i="58"/>
  <c r="E368" i="58"/>
  <c r="E367" i="58"/>
  <c r="C371" i="58" s="1"/>
  <c r="D368" i="58"/>
  <c r="D367" i="58"/>
  <c r="F366" i="58"/>
  <c r="G384" i="58"/>
  <c r="F385" i="58" s="1"/>
  <c r="D128" i="59"/>
  <c r="E128" i="59"/>
  <c r="D129" i="59"/>
  <c r="E129" i="59"/>
  <c r="D130" i="59"/>
  <c r="E130" i="59"/>
  <c r="D131" i="59"/>
  <c r="E131" i="59"/>
  <c r="D132" i="59"/>
  <c r="E132" i="59"/>
  <c r="D133" i="59"/>
  <c r="E133" i="59"/>
  <c r="D134" i="59"/>
  <c r="E134" i="59"/>
  <c r="D135" i="59"/>
  <c r="E135" i="59"/>
  <c r="D136" i="59"/>
  <c r="E136" i="59"/>
  <c r="D137" i="59"/>
  <c r="E137" i="59"/>
  <c r="D138" i="59"/>
  <c r="E138" i="59"/>
  <c r="D139" i="59"/>
  <c r="E139" i="59"/>
  <c r="D140" i="59"/>
  <c r="E140" i="59"/>
  <c r="D141" i="59"/>
  <c r="E141" i="59"/>
  <c r="D142" i="59"/>
  <c r="E142" i="59"/>
  <c r="D143" i="59"/>
  <c r="E143" i="59"/>
  <c r="D144" i="59"/>
  <c r="E144" i="59"/>
  <c r="D145" i="59"/>
  <c r="E145" i="59"/>
  <c r="D146" i="59"/>
  <c r="E146" i="59"/>
  <c r="H128" i="59"/>
  <c r="H129" i="59"/>
  <c r="H130" i="59"/>
  <c r="H131" i="59"/>
  <c r="H132" i="59"/>
  <c r="H133" i="59"/>
  <c r="H134" i="59"/>
  <c r="H135" i="59"/>
  <c r="H136" i="59"/>
  <c r="H137" i="59"/>
  <c r="H138" i="59"/>
  <c r="H139" i="59"/>
  <c r="H140" i="59"/>
  <c r="H141" i="59"/>
  <c r="H142" i="59"/>
  <c r="H143" i="59"/>
  <c r="H144" i="59"/>
  <c r="H145" i="59"/>
  <c r="H146" i="59"/>
  <c r="B146" i="59"/>
  <c r="B128" i="59"/>
  <c r="B129" i="59"/>
  <c r="B130" i="59"/>
  <c r="B131" i="59"/>
  <c r="B132" i="59"/>
  <c r="B133" i="59"/>
  <c r="B134" i="59"/>
  <c r="B135" i="59"/>
  <c r="B136" i="59"/>
  <c r="B137" i="59"/>
  <c r="B138" i="59"/>
  <c r="B139" i="59"/>
  <c r="B140" i="59"/>
  <c r="B141" i="59"/>
  <c r="B142" i="59"/>
  <c r="B143" i="59"/>
  <c r="B144" i="59"/>
  <c r="B145" i="59"/>
  <c r="B100" i="59"/>
  <c r="I146" i="59"/>
  <c r="I145" i="59"/>
  <c r="I144" i="59"/>
  <c r="I143" i="59"/>
  <c r="I142" i="59"/>
  <c r="I141" i="59"/>
  <c r="I140" i="59"/>
  <c r="I139" i="59"/>
  <c r="I138" i="59"/>
  <c r="I137" i="59"/>
  <c r="I136" i="59"/>
  <c r="I135" i="59"/>
  <c r="I134" i="59"/>
  <c r="I133" i="59"/>
  <c r="I132" i="59"/>
  <c r="I131" i="59"/>
  <c r="I130" i="59"/>
  <c r="I129" i="59"/>
  <c r="I128" i="59"/>
  <c r="I127" i="59"/>
  <c r="K127" i="59" s="1"/>
  <c r="F194" i="59" l="1"/>
  <c r="H183" i="59"/>
  <c r="F172" i="59"/>
  <c r="Q183" i="59"/>
  <c r="R186" i="59"/>
  <c r="O196" i="59"/>
  <c r="R187" i="59"/>
  <c r="O197" i="59"/>
  <c r="L127" i="59"/>
  <c r="K161" i="59"/>
  <c r="H184" i="59"/>
  <c r="Q185" i="59"/>
  <c r="L154" i="59"/>
  <c r="F198" i="59"/>
  <c r="N154" i="59"/>
  <c r="Q184" i="59"/>
  <c r="H185" i="59"/>
  <c r="N198" i="59"/>
  <c r="I187" i="59"/>
  <c r="G196" i="59"/>
  <c r="G197" i="59"/>
  <c r="I186" i="59"/>
  <c r="W176" i="59"/>
  <c r="H176" i="59"/>
  <c r="K128" i="59"/>
  <c r="I174" i="59"/>
  <c r="V174" i="59"/>
  <c r="X174" i="59"/>
  <c r="G174" i="59"/>
  <c r="C373" i="58"/>
  <c r="F146" i="59"/>
  <c r="F142" i="59"/>
  <c r="F138" i="59"/>
  <c r="F136" i="59"/>
  <c r="F134" i="59"/>
  <c r="F130" i="59"/>
  <c r="F128" i="59"/>
  <c r="F145" i="59"/>
  <c r="F143" i="59"/>
  <c r="F141" i="59"/>
  <c r="F139" i="59"/>
  <c r="F137" i="59"/>
  <c r="F135" i="59"/>
  <c r="F133" i="59"/>
  <c r="F131" i="59"/>
  <c r="F129" i="59"/>
  <c r="F144" i="59"/>
  <c r="F140" i="59"/>
  <c r="F132" i="59"/>
  <c r="G146" i="59"/>
  <c r="G144" i="59"/>
  <c r="G142" i="59"/>
  <c r="G140" i="59"/>
  <c r="G138" i="59"/>
  <c r="G136" i="59"/>
  <c r="G134" i="59"/>
  <c r="G132" i="59"/>
  <c r="G130" i="59"/>
  <c r="G128" i="59"/>
  <c r="G145" i="59"/>
  <c r="G143" i="59"/>
  <c r="G141" i="59"/>
  <c r="G139" i="59"/>
  <c r="G137" i="59"/>
  <c r="G135" i="59"/>
  <c r="G133" i="59"/>
  <c r="G131" i="59"/>
  <c r="G129" i="59"/>
  <c r="L129" i="59"/>
  <c r="L144" i="59"/>
  <c r="L140" i="59"/>
  <c r="L136" i="59"/>
  <c r="L132" i="59"/>
  <c r="L128" i="59"/>
  <c r="L139" i="59"/>
  <c r="L131" i="59"/>
  <c r="L145" i="59"/>
  <c r="L141" i="59"/>
  <c r="L137" i="59"/>
  <c r="L133" i="59"/>
  <c r="L143" i="59"/>
  <c r="L135" i="59"/>
  <c r="L146" i="59"/>
  <c r="L142" i="59"/>
  <c r="L138" i="59"/>
  <c r="L134" i="59"/>
  <c r="L130" i="59"/>
  <c r="G385" i="58"/>
  <c r="C374" i="58"/>
  <c r="C372" i="58"/>
  <c r="K129" i="59"/>
  <c r="K133" i="59"/>
  <c r="K137" i="59"/>
  <c r="K141" i="59"/>
  <c r="K145" i="59"/>
  <c r="K132" i="59"/>
  <c r="K136" i="59"/>
  <c r="K140" i="59"/>
  <c r="K144" i="59"/>
  <c r="K131" i="59"/>
  <c r="K135" i="59"/>
  <c r="K139" i="59"/>
  <c r="K143" i="59"/>
  <c r="K130" i="59"/>
  <c r="K142" i="59"/>
  <c r="K134" i="59"/>
  <c r="K138" i="59"/>
  <c r="K146" i="59"/>
  <c r="J183" i="59" l="1"/>
  <c r="H194" i="59"/>
  <c r="K194" i="59" s="1"/>
  <c r="S183" i="59"/>
  <c r="P194" i="59"/>
  <c r="Y174" i="59"/>
  <c r="J174" i="59"/>
  <c r="L174" i="59" s="1"/>
  <c r="C380" i="58"/>
  <c r="C221" i="58"/>
  <c r="C223" i="58"/>
  <c r="C224" i="58"/>
  <c r="C225" i="58"/>
  <c r="C226" i="58"/>
  <c r="C227" i="58"/>
  <c r="C228" i="58"/>
  <c r="C229" i="58"/>
  <c r="C230" i="58"/>
  <c r="C231" i="58"/>
  <c r="J57" i="57"/>
  <c r="J58" i="57"/>
  <c r="J59" i="57"/>
  <c r="J60" i="57"/>
  <c r="J61" i="57"/>
  <c r="J62" i="57"/>
  <c r="J63" i="57"/>
  <c r="J64" i="57"/>
  <c r="J65" i="57"/>
  <c r="J66" i="57"/>
  <c r="J67" i="57"/>
  <c r="J68" i="57"/>
  <c r="J69" i="57"/>
  <c r="J70" i="57"/>
  <c r="J71" i="57"/>
  <c r="J72" i="57"/>
  <c r="J73" i="57"/>
  <c r="J55" i="57"/>
  <c r="E221" i="58" l="1"/>
  <c r="AA174" i="59"/>
  <c r="Q211" i="59" s="1"/>
  <c r="U211" i="59" s="1"/>
  <c r="P174" i="59"/>
  <c r="D101" i="57"/>
  <c r="C229" i="59" s="1"/>
  <c r="D102" i="57"/>
  <c r="D103" i="57"/>
  <c r="D104" i="57"/>
  <c r="D105" i="57"/>
  <c r="D106" i="57"/>
  <c r="D107" i="57"/>
  <c r="D108" i="57"/>
  <c r="D109" i="57"/>
  <c r="D110" i="57"/>
  <c r="N90" i="57"/>
  <c r="N91" i="57"/>
  <c r="N92" i="57"/>
  <c r="N88" i="57"/>
  <c r="D222" i="58"/>
  <c r="E222" i="58" l="1"/>
  <c r="F222" i="58"/>
  <c r="AE174" i="59"/>
  <c r="AH174" i="59" s="1"/>
  <c r="S211" i="59" s="1"/>
  <c r="G80" i="57"/>
  <c r="O81" i="57"/>
  <c r="O82" i="57"/>
  <c r="O83" i="57"/>
  <c r="O84" i="57"/>
  <c r="N85" i="57"/>
  <c r="D223" i="58"/>
  <c r="G161" i="59" l="1"/>
  <c r="G297" i="59"/>
  <c r="F223" i="58"/>
  <c r="E223" i="58"/>
  <c r="D224" i="58"/>
  <c r="F224" i="58" l="1"/>
  <c r="E224" i="58"/>
  <c r="D225" i="58"/>
  <c r="F225" i="58" l="1"/>
  <c r="E225" i="58"/>
  <c r="J54" i="57"/>
  <c r="U54" i="57"/>
  <c r="D226" i="58"/>
  <c r="F226" i="58" l="1"/>
  <c r="E226" i="58"/>
  <c r="G59" i="58"/>
  <c r="D227" i="58"/>
  <c r="F227" i="58" l="1"/>
  <c r="E227" i="58"/>
  <c r="B34" i="22"/>
  <c r="B35" i="22"/>
  <c r="B36" i="22"/>
  <c r="B37" i="22"/>
  <c r="B38" i="22"/>
  <c r="B39" i="22"/>
  <c r="B40" i="22"/>
  <c r="B41" i="22"/>
  <c r="B42" i="22"/>
  <c r="B43" i="22"/>
  <c r="B44" i="22"/>
  <c r="B45" i="22"/>
  <c r="B46" i="22"/>
  <c r="B47" i="22"/>
  <c r="B48" i="22"/>
  <c r="B49" i="22"/>
  <c r="B50" i="22"/>
  <c r="B51" i="22"/>
  <c r="B52" i="22"/>
  <c r="D228" i="58"/>
  <c r="B72" i="22" l="1"/>
  <c r="B126" i="22"/>
  <c r="B79" i="22"/>
  <c r="B133" i="22"/>
  <c r="B78" i="22"/>
  <c r="B132" i="22"/>
  <c r="B77" i="22"/>
  <c r="B131" i="22"/>
  <c r="B74" i="22"/>
  <c r="B128" i="22"/>
  <c r="B73" i="22"/>
  <c r="B127" i="22"/>
  <c r="B76" i="22"/>
  <c r="B130" i="22"/>
  <c r="B75" i="22"/>
  <c r="B129" i="22"/>
  <c r="B71" i="22"/>
  <c r="B125" i="22"/>
  <c r="B69" i="22"/>
  <c r="B123" i="22"/>
  <c r="B68" i="22"/>
  <c r="B122" i="22"/>
  <c r="B66" i="22"/>
  <c r="B120" i="22"/>
  <c r="B67" i="22"/>
  <c r="B121" i="22"/>
  <c r="B70" i="22"/>
  <c r="B124" i="22"/>
  <c r="B63" i="22"/>
  <c r="B117" i="22"/>
  <c r="B64" i="22"/>
  <c r="B118" i="22"/>
  <c r="B65" i="22"/>
  <c r="B119" i="22"/>
  <c r="B62" i="22"/>
  <c r="B116" i="22"/>
  <c r="B61" i="22"/>
  <c r="B115" i="22"/>
  <c r="F228" i="58"/>
  <c r="E228" i="58"/>
  <c r="D55" i="58"/>
  <c r="H59" i="58"/>
  <c r="E30" i="59"/>
  <c r="D30" i="59"/>
  <c r="D229" i="58"/>
  <c r="F229" i="58" l="1"/>
  <c r="E229" i="58"/>
  <c r="K388" i="58"/>
  <c r="E380" i="58" s="1"/>
  <c r="K378" i="58"/>
  <c r="K379" i="58" s="1"/>
  <c r="D230" i="58"/>
  <c r="K383" i="58" l="1"/>
  <c r="D380" i="58" s="1"/>
  <c r="F230" i="58"/>
  <c r="E230" i="58"/>
  <c r="D18" i="59"/>
  <c r="E18" i="59"/>
  <c r="F18" i="59"/>
  <c r="G18" i="59"/>
  <c r="H18" i="59"/>
  <c r="I18" i="59"/>
  <c r="C18" i="59"/>
  <c r="D231" i="58"/>
  <c r="D48" i="59" l="1"/>
  <c r="G48" i="59"/>
  <c r="C48" i="59"/>
  <c r="G38" i="57"/>
  <c r="G52" i="59"/>
  <c r="G56" i="59"/>
  <c r="G60" i="59"/>
  <c r="G64" i="59"/>
  <c r="G53" i="59"/>
  <c r="G61" i="59"/>
  <c r="G51" i="59"/>
  <c r="G55" i="59"/>
  <c r="G59" i="59"/>
  <c r="G63" i="59"/>
  <c r="G67" i="59"/>
  <c r="G50" i="59"/>
  <c r="G54" i="59"/>
  <c r="G58" i="59"/>
  <c r="G62" i="59"/>
  <c r="G66" i="59"/>
  <c r="G49" i="59"/>
  <c r="G57" i="59"/>
  <c r="G65" i="59"/>
  <c r="I38" i="57"/>
  <c r="I52" i="59"/>
  <c r="I56" i="59"/>
  <c r="I60" i="59"/>
  <c r="I64" i="59"/>
  <c r="I48" i="59"/>
  <c r="I53" i="59"/>
  <c r="I61" i="59"/>
  <c r="I51" i="59"/>
  <c r="I55" i="59"/>
  <c r="I59" i="59"/>
  <c r="I63" i="59"/>
  <c r="I67" i="59"/>
  <c r="I50" i="59"/>
  <c r="I54" i="59"/>
  <c r="I58" i="59"/>
  <c r="I62" i="59"/>
  <c r="I66" i="59"/>
  <c r="I49" i="59"/>
  <c r="I57" i="59"/>
  <c r="I65" i="59"/>
  <c r="E38" i="57"/>
  <c r="E52" i="59"/>
  <c r="E56" i="59"/>
  <c r="E60" i="59"/>
  <c r="E64" i="59"/>
  <c r="E48" i="59"/>
  <c r="E58" i="59"/>
  <c r="E53" i="59"/>
  <c r="E61" i="59"/>
  <c r="E51" i="59"/>
  <c r="E55" i="59"/>
  <c r="E59" i="59"/>
  <c r="E63" i="59"/>
  <c r="E67" i="59"/>
  <c r="E50" i="59"/>
  <c r="E54" i="59"/>
  <c r="E62" i="59"/>
  <c r="E66" i="59"/>
  <c r="E49" i="59"/>
  <c r="E57" i="59"/>
  <c r="E65" i="59"/>
  <c r="C52" i="59"/>
  <c r="C56" i="59"/>
  <c r="C60" i="59"/>
  <c r="C64" i="59"/>
  <c r="C54" i="59"/>
  <c r="C62" i="59"/>
  <c r="C49" i="59"/>
  <c r="C57" i="59"/>
  <c r="C65" i="59"/>
  <c r="C51" i="59"/>
  <c r="C55" i="59"/>
  <c r="C59" i="59"/>
  <c r="C63" i="59"/>
  <c r="C67" i="59"/>
  <c r="C50" i="59"/>
  <c r="C58" i="59"/>
  <c r="C66" i="59"/>
  <c r="C53" i="59"/>
  <c r="C61" i="59"/>
  <c r="F38" i="57"/>
  <c r="F52" i="59"/>
  <c r="F56" i="59"/>
  <c r="F60" i="59"/>
  <c r="F64" i="59"/>
  <c r="F48" i="59"/>
  <c r="F49" i="59"/>
  <c r="F57" i="59"/>
  <c r="F65" i="59"/>
  <c r="F51" i="59"/>
  <c r="F55" i="59"/>
  <c r="F59" i="59"/>
  <c r="F63" i="59"/>
  <c r="F67" i="59"/>
  <c r="F50" i="59"/>
  <c r="F54" i="59"/>
  <c r="F58" i="59"/>
  <c r="F62" i="59"/>
  <c r="F66" i="59"/>
  <c r="F53" i="59"/>
  <c r="F61" i="59"/>
  <c r="H38" i="57"/>
  <c r="H52" i="59"/>
  <c r="H56" i="59"/>
  <c r="H60" i="59"/>
  <c r="H64" i="59"/>
  <c r="H48" i="59"/>
  <c r="H49" i="59"/>
  <c r="H57" i="59"/>
  <c r="H65" i="59"/>
  <c r="H51" i="59"/>
  <c r="H55" i="59"/>
  <c r="H59" i="59"/>
  <c r="H63" i="59"/>
  <c r="H67" i="59"/>
  <c r="H50" i="59"/>
  <c r="H54" i="59"/>
  <c r="H58" i="59"/>
  <c r="H62" i="59"/>
  <c r="H66" i="59"/>
  <c r="H53" i="59"/>
  <c r="H61" i="59"/>
  <c r="D38" i="57"/>
  <c r="D52" i="59"/>
  <c r="D56" i="59"/>
  <c r="D60" i="59"/>
  <c r="D64" i="59"/>
  <c r="D50" i="59"/>
  <c r="D58" i="59"/>
  <c r="D66" i="59"/>
  <c r="D53" i="59"/>
  <c r="D61" i="59"/>
  <c r="D51" i="59"/>
  <c r="D55" i="59"/>
  <c r="D59" i="59"/>
  <c r="D63" i="59"/>
  <c r="D67" i="59"/>
  <c r="D54" i="59"/>
  <c r="D62" i="59"/>
  <c r="D49" i="59"/>
  <c r="D57" i="59"/>
  <c r="D65" i="59"/>
  <c r="F231" i="58"/>
  <c r="F232" i="58" s="1"/>
  <c r="F233" i="58" s="1"/>
  <c r="E231" i="58"/>
  <c r="C38" i="57"/>
  <c r="D19" i="59"/>
  <c r="E19" i="59"/>
  <c r="F19" i="59"/>
  <c r="G19" i="59"/>
  <c r="H19" i="59"/>
  <c r="I19" i="59"/>
  <c r="C19" i="59"/>
  <c r="C11" i="59" l="1"/>
  <c r="C23" i="59" s="1"/>
  <c r="D68" i="59"/>
  <c r="V54" i="57"/>
  <c r="V58" i="57"/>
  <c r="V62" i="57"/>
  <c r="V66" i="57"/>
  <c r="V70" i="57"/>
  <c r="V64" i="57"/>
  <c r="V57" i="57"/>
  <c r="V61" i="57"/>
  <c r="V65" i="57"/>
  <c r="V69" i="57"/>
  <c r="V73" i="57"/>
  <c r="V56" i="57"/>
  <c r="V72" i="57"/>
  <c r="V55" i="57"/>
  <c r="V59" i="57"/>
  <c r="V63" i="57"/>
  <c r="V67" i="57"/>
  <c r="V71" i="57"/>
  <c r="V60" i="57"/>
  <c r="V68" i="57"/>
  <c r="H220" i="59"/>
  <c r="D23" i="59" l="1"/>
  <c r="E23" i="59"/>
  <c r="U55" i="57"/>
  <c r="U56" i="57"/>
  <c r="U57" i="57"/>
  <c r="U58" i="57"/>
  <c r="U59" i="57"/>
  <c r="U60" i="57"/>
  <c r="U61" i="57"/>
  <c r="U62" i="57"/>
  <c r="U63" i="57"/>
  <c r="U64" i="57"/>
  <c r="U65" i="57"/>
  <c r="U66" i="57"/>
  <c r="U67" i="57"/>
  <c r="U68" i="57"/>
  <c r="U69" i="57"/>
  <c r="U70" i="57"/>
  <c r="U71" i="57"/>
  <c r="U72" i="57"/>
  <c r="U73" i="57"/>
  <c r="T55" i="57"/>
  <c r="T56" i="57"/>
  <c r="T57" i="57"/>
  <c r="T58" i="57"/>
  <c r="T59" i="57"/>
  <c r="T60" i="57"/>
  <c r="T61" i="57"/>
  <c r="T62" i="57"/>
  <c r="T63" i="57"/>
  <c r="T64" i="57"/>
  <c r="T65" i="57"/>
  <c r="T66" i="57"/>
  <c r="T67" i="57"/>
  <c r="T68" i="57"/>
  <c r="T69" i="57"/>
  <c r="T70" i="57"/>
  <c r="T71" i="57"/>
  <c r="T72" i="57"/>
  <c r="T73" i="57"/>
  <c r="D20" i="59"/>
  <c r="E20" i="59"/>
  <c r="F20" i="59"/>
  <c r="G20" i="59"/>
  <c r="H20" i="59"/>
  <c r="I20" i="59"/>
  <c r="C20" i="59"/>
  <c r="C22" i="59" l="1"/>
  <c r="H22" i="59"/>
  <c r="O54" i="59" s="1"/>
  <c r="D22" i="59"/>
  <c r="F22" i="59"/>
  <c r="G22" i="59"/>
  <c r="N59" i="59" s="1"/>
  <c r="I22" i="59"/>
  <c r="P56" i="59" s="1"/>
  <c r="E22" i="59"/>
  <c r="L64" i="59" s="1"/>
  <c r="I339" i="59"/>
  <c r="I368" i="59"/>
  <c r="I331" i="59"/>
  <c r="I360" i="59"/>
  <c r="I324" i="59"/>
  <c r="I369" i="59"/>
  <c r="I340" i="59"/>
  <c r="I365" i="59"/>
  <c r="I336" i="59"/>
  <c r="I361" i="59"/>
  <c r="I332" i="59"/>
  <c r="I357" i="59"/>
  <c r="I328" i="59"/>
  <c r="I341" i="59"/>
  <c r="I370" i="59"/>
  <c r="I337" i="59"/>
  <c r="I366" i="59"/>
  <c r="I333" i="59"/>
  <c r="I362" i="59"/>
  <c r="I329" i="59"/>
  <c r="I358" i="59"/>
  <c r="I335" i="59"/>
  <c r="I364" i="59"/>
  <c r="I327" i="59"/>
  <c r="I356" i="59"/>
  <c r="I371" i="59"/>
  <c r="I342" i="59"/>
  <c r="I367" i="59"/>
  <c r="I338" i="59"/>
  <c r="I363" i="59"/>
  <c r="I334" i="59"/>
  <c r="I359" i="59"/>
  <c r="I330" i="59"/>
  <c r="I355" i="59"/>
  <c r="I326" i="59"/>
  <c r="I343" i="59"/>
  <c r="I372" i="59"/>
  <c r="I325" i="59"/>
  <c r="I354" i="59"/>
  <c r="M51" i="59" l="1"/>
  <c r="K65" i="59"/>
  <c r="J48" i="59"/>
  <c r="O63" i="59"/>
  <c r="M55" i="59"/>
  <c r="M59" i="59"/>
  <c r="N60" i="59"/>
  <c r="N58" i="59"/>
  <c r="N57" i="59"/>
  <c r="M63" i="59"/>
  <c r="K56" i="59"/>
  <c r="K67" i="59"/>
  <c r="K48" i="59"/>
  <c r="K63" i="59"/>
  <c r="O53" i="59"/>
  <c r="O67" i="59"/>
  <c r="M67" i="59"/>
  <c r="K61" i="59"/>
  <c r="P49" i="59"/>
  <c r="O59" i="59"/>
  <c r="P51" i="59"/>
  <c r="P67" i="59"/>
  <c r="N62" i="59"/>
  <c r="N67" i="59"/>
  <c r="N51" i="59"/>
  <c r="N65" i="59"/>
  <c r="N55" i="59"/>
  <c r="N50" i="59"/>
  <c r="N48" i="59"/>
  <c r="N52" i="59"/>
  <c r="N53" i="59"/>
  <c r="N56" i="59"/>
  <c r="N54" i="59"/>
  <c r="M50" i="59"/>
  <c r="F255" i="59"/>
  <c r="P61" i="59"/>
  <c r="L49" i="59"/>
  <c r="N64" i="59"/>
  <c r="G255" i="59"/>
  <c r="C255" i="59"/>
  <c r="C256" i="59" s="1"/>
  <c r="B490" i="59" s="1"/>
  <c r="P54" i="59"/>
  <c r="I255" i="59"/>
  <c r="O60" i="59"/>
  <c r="H255" i="59"/>
  <c r="L63" i="59"/>
  <c r="E255" i="59"/>
  <c r="K60" i="59"/>
  <c r="D255" i="59"/>
  <c r="O65" i="59"/>
  <c r="O58" i="59"/>
  <c r="O62" i="59"/>
  <c r="P50" i="59"/>
  <c r="P55" i="59"/>
  <c r="P65" i="59"/>
  <c r="P63" i="59"/>
  <c r="P62" i="59"/>
  <c r="L55" i="59"/>
  <c r="L62" i="59"/>
  <c r="O64" i="59"/>
  <c r="O48" i="59"/>
  <c r="O52" i="59"/>
  <c r="O56" i="59"/>
  <c r="O51" i="59"/>
  <c r="P59" i="59"/>
  <c r="P53" i="59"/>
  <c r="P64" i="59"/>
  <c r="P66" i="59"/>
  <c r="P60" i="59"/>
  <c r="K51" i="59"/>
  <c r="K62" i="59"/>
  <c r="L57" i="59"/>
  <c r="L67" i="59"/>
  <c r="L48" i="59"/>
  <c r="O61" i="59"/>
  <c r="O66" i="59"/>
  <c r="O50" i="59"/>
  <c r="O55" i="59"/>
  <c r="O49" i="59"/>
  <c r="O57" i="59"/>
  <c r="P57" i="59"/>
  <c r="P58" i="59"/>
  <c r="P48" i="59"/>
  <c r="P52" i="59"/>
  <c r="K53" i="59"/>
  <c r="K58" i="59"/>
  <c r="L50" i="59"/>
  <c r="L65" i="59"/>
  <c r="L51" i="59"/>
  <c r="M64" i="59"/>
  <c r="M60" i="59"/>
  <c r="M56" i="59"/>
  <c r="M52" i="59"/>
  <c r="M48" i="59"/>
  <c r="N66" i="59"/>
  <c r="N49" i="59"/>
  <c r="N63" i="59"/>
  <c r="N61" i="59"/>
  <c r="M65" i="59"/>
  <c r="M61" i="59"/>
  <c r="M57" i="59"/>
  <c r="M53" i="59"/>
  <c r="M49" i="59"/>
  <c r="K55" i="59"/>
  <c r="K64" i="59"/>
  <c r="K50" i="59"/>
  <c r="K52" i="59"/>
  <c r="K57" i="59"/>
  <c r="L60" i="59"/>
  <c r="L66" i="59"/>
  <c r="L58" i="59"/>
  <c r="L56" i="59"/>
  <c r="L53" i="59"/>
  <c r="M66" i="59"/>
  <c r="M62" i="59"/>
  <c r="M58" i="59"/>
  <c r="M54" i="59"/>
  <c r="K59" i="59"/>
  <c r="K54" i="59"/>
  <c r="K66" i="59"/>
  <c r="K49" i="59"/>
  <c r="L61" i="59"/>
  <c r="L52" i="59"/>
  <c r="L54" i="59"/>
  <c r="L59" i="59"/>
  <c r="J60" i="59"/>
  <c r="J49" i="59"/>
  <c r="J62" i="59"/>
  <c r="J66" i="59"/>
  <c r="J58" i="59"/>
  <c r="J57" i="59"/>
  <c r="J50" i="59"/>
  <c r="J65" i="59"/>
  <c r="J59" i="59"/>
  <c r="J51" i="59"/>
  <c r="J22" i="59"/>
  <c r="J52" i="59"/>
  <c r="J56" i="59"/>
  <c r="J53" i="59"/>
  <c r="J54" i="59"/>
  <c r="J64" i="59"/>
  <c r="J61" i="59"/>
  <c r="J63" i="59"/>
  <c r="J55" i="59"/>
  <c r="J67" i="59"/>
  <c r="B399" i="59"/>
  <c r="B400" i="59"/>
  <c r="B401" i="59"/>
  <c r="B402" i="59"/>
  <c r="B403" i="59"/>
  <c r="B368" i="59"/>
  <c r="B369" i="59"/>
  <c r="B370" i="59"/>
  <c r="B371" i="59"/>
  <c r="B372" i="59"/>
  <c r="B339" i="59"/>
  <c r="B340" i="59"/>
  <c r="B341" i="59"/>
  <c r="B342" i="59"/>
  <c r="B343" i="59"/>
  <c r="B281" i="59"/>
  <c r="G281" i="59"/>
  <c r="B282" i="59"/>
  <c r="G282" i="59"/>
  <c r="B283" i="59"/>
  <c r="G283" i="59"/>
  <c r="B284" i="59"/>
  <c r="G284" i="59"/>
  <c r="B285" i="59"/>
  <c r="G285" i="59"/>
  <c r="L266" i="59" l="1"/>
  <c r="C497" i="59" s="1"/>
  <c r="B115" i="59"/>
  <c r="B116" i="59"/>
  <c r="B117" i="59"/>
  <c r="B118" i="59"/>
  <c r="B119" i="59"/>
  <c r="B90" i="59"/>
  <c r="C90" i="59"/>
  <c r="F90" i="59"/>
  <c r="F281" i="59" s="1"/>
  <c r="G90" i="59"/>
  <c r="L90" i="59"/>
  <c r="D437" i="59" s="1"/>
  <c r="M90" i="59"/>
  <c r="E437" i="59" s="1"/>
  <c r="P90" i="59"/>
  <c r="H437" i="59" s="1"/>
  <c r="Q90" i="59"/>
  <c r="I437" i="59" s="1"/>
  <c r="T90" i="59"/>
  <c r="L437" i="59" s="1"/>
  <c r="U90" i="59"/>
  <c r="M437" i="59" s="1"/>
  <c r="X90" i="59"/>
  <c r="P437" i="59" s="1"/>
  <c r="Y90" i="59"/>
  <c r="Q437" i="59" s="1"/>
  <c r="AB90" i="59"/>
  <c r="T437" i="59" s="1"/>
  <c r="AC90" i="59"/>
  <c r="U437" i="59" s="1"/>
  <c r="AF90" i="59"/>
  <c r="X437" i="59" s="1"/>
  <c r="AG90" i="59"/>
  <c r="Y437" i="59" s="1"/>
  <c r="AJ90" i="59"/>
  <c r="AB437" i="59" s="1"/>
  <c r="AK90" i="59"/>
  <c r="AC437" i="59" s="1"/>
  <c r="B91" i="59"/>
  <c r="C91" i="59"/>
  <c r="F91" i="59"/>
  <c r="F282" i="59" s="1"/>
  <c r="G91" i="59"/>
  <c r="L91" i="59"/>
  <c r="D438" i="59" s="1"/>
  <c r="M91" i="59"/>
  <c r="E438" i="59" s="1"/>
  <c r="P91" i="59"/>
  <c r="H438" i="59" s="1"/>
  <c r="Q91" i="59"/>
  <c r="I438" i="59" s="1"/>
  <c r="T91" i="59"/>
  <c r="L438" i="59" s="1"/>
  <c r="U91" i="59"/>
  <c r="M438" i="59" s="1"/>
  <c r="X91" i="59"/>
  <c r="P438" i="59" s="1"/>
  <c r="Y91" i="59"/>
  <c r="Q438" i="59" s="1"/>
  <c r="AB91" i="59"/>
  <c r="T438" i="59" s="1"/>
  <c r="AC91" i="59"/>
  <c r="U438" i="59" s="1"/>
  <c r="AF91" i="59"/>
  <c r="X438" i="59" s="1"/>
  <c r="AG91" i="59"/>
  <c r="Y438" i="59" s="1"/>
  <c r="AJ91" i="59"/>
  <c r="AB438" i="59" s="1"/>
  <c r="AK91" i="59"/>
  <c r="AC438" i="59" s="1"/>
  <c r="B92" i="59"/>
  <c r="C92" i="59"/>
  <c r="F92" i="59"/>
  <c r="F283" i="59" s="1"/>
  <c r="G92" i="59"/>
  <c r="L92" i="59"/>
  <c r="D439" i="59" s="1"/>
  <c r="M92" i="59"/>
  <c r="E439" i="59" s="1"/>
  <c r="P92" i="59"/>
  <c r="H439" i="59" s="1"/>
  <c r="Q92" i="59"/>
  <c r="I439" i="59" s="1"/>
  <c r="T92" i="59"/>
  <c r="L439" i="59" s="1"/>
  <c r="U92" i="59"/>
  <c r="M439" i="59" s="1"/>
  <c r="X92" i="59"/>
  <c r="P439" i="59" s="1"/>
  <c r="Y92" i="59"/>
  <c r="Q439" i="59" s="1"/>
  <c r="AB92" i="59"/>
  <c r="T439" i="59" s="1"/>
  <c r="AC92" i="59"/>
  <c r="U439" i="59" s="1"/>
  <c r="AF92" i="59"/>
  <c r="X439" i="59" s="1"/>
  <c r="AG92" i="59"/>
  <c r="Y439" i="59" s="1"/>
  <c r="AJ92" i="59"/>
  <c r="AB439" i="59" s="1"/>
  <c r="AK92" i="59"/>
  <c r="AC439" i="59" s="1"/>
  <c r="B93" i="59"/>
  <c r="C93" i="59"/>
  <c r="F93" i="59"/>
  <c r="F284" i="59" s="1"/>
  <c r="G93" i="59"/>
  <c r="L93" i="59"/>
  <c r="D440" i="59" s="1"/>
  <c r="M93" i="59"/>
  <c r="E440" i="59" s="1"/>
  <c r="P93" i="59"/>
  <c r="H440" i="59" s="1"/>
  <c r="Q93" i="59"/>
  <c r="I440" i="59" s="1"/>
  <c r="T93" i="59"/>
  <c r="L440" i="59" s="1"/>
  <c r="U93" i="59"/>
  <c r="M440" i="59" s="1"/>
  <c r="X93" i="59"/>
  <c r="P440" i="59" s="1"/>
  <c r="Y93" i="59"/>
  <c r="Q440" i="59" s="1"/>
  <c r="AB93" i="59"/>
  <c r="T440" i="59" s="1"/>
  <c r="AC93" i="59"/>
  <c r="U440" i="59" s="1"/>
  <c r="AF93" i="59"/>
  <c r="X440" i="59" s="1"/>
  <c r="AG93" i="59"/>
  <c r="Y440" i="59" s="1"/>
  <c r="AJ93" i="59"/>
  <c r="AB440" i="59" s="1"/>
  <c r="AK93" i="59"/>
  <c r="AC440" i="59" s="1"/>
  <c r="B94" i="59"/>
  <c r="C94" i="59"/>
  <c r="F94" i="59"/>
  <c r="F285" i="59" s="1"/>
  <c r="G94" i="59"/>
  <c r="L94" i="59"/>
  <c r="D441" i="59" s="1"/>
  <c r="M94" i="59"/>
  <c r="E441" i="59" s="1"/>
  <c r="P94" i="59"/>
  <c r="H441" i="59" s="1"/>
  <c r="Q94" i="59"/>
  <c r="I441" i="59" s="1"/>
  <c r="T94" i="59"/>
  <c r="L441" i="59" s="1"/>
  <c r="U94" i="59"/>
  <c r="M441" i="59" s="1"/>
  <c r="X94" i="59"/>
  <c r="P441" i="59" s="1"/>
  <c r="Y94" i="59"/>
  <c r="Q441" i="59" s="1"/>
  <c r="AB94" i="59"/>
  <c r="T441" i="59" s="1"/>
  <c r="AC94" i="59"/>
  <c r="U441" i="59" s="1"/>
  <c r="AF94" i="59"/>
  <c r="X441" i="59" s="1"/>
  <c r="AG94" i="59"/>
  <c r="Y441" i="59" s="1"/>
  <c r="AJ94" i="59"/>
  <c r="AB441" i="59" s="1"/>
  <c r="AK94" i="59"/>
  <c r="AC441" i="59" s="1"/>
  <c r="B63" i="59"/>
  <c r="B64" i="59"/>
  <c r="B65" i="59"/>
  <c r="B66" i="59"/>
  <c r="B67" i="59"/>
  <c r="B69" i="57"/>
  <c r="B70" i="57"/>
  <c r="B71" i="57"/>
  <c r="B72" i="57"/>
  <c r="B73" i="57"/>
  <c r="B54" i="57"/>
  <c r="B55" i="57"/>
  <c r="C143" i="59" l="1"/>
  <c r="C146" i="59"/>
  <c r="C144" i="59"/>
  <c r="C142" i="59"/>
  <c r="C145" i="59"/>
  <c r="F370" i="59"/>
  <c r="H370" i="59" s="1"/>
  <c r="J370" i="59" s="1"/>
  <c r="F341" i="59"/>
  <c r="H341" i="59" s="1"/>
  <c r="J341" i="59" s="1"/>
  <c r="F339" i="59"/>
  <c r="H339" i="59" s="1"/>
  <c r="J339" i="59" s="1"/>
  <c r="F368" i="59"/>
  <c r="H368" i="59" s="1"/>
  <c r="J368" i="59" s="1"/>
  <c r="F371" i="59"/>
  <c r="H371" i="59" s="1"/>
  <c r="J371" i="59" s="1"/>
  <c r="F342" i="59"/>
  <c r="H342" i="59" s="1"/>
  <c r="J342" i="59" s="1"/>
  <c r="F340" i="59"/>
  <c r="H340" i="59" s="1"/>
  <c r="J340" i="59" s="1"/>
  <c r="F369" i="59"/>
  <c r="H369" i="59" s="1"/>
  <c r="J369" i="59" s="1"/>
  <c r="F343" i="59"/>
  <c r="H343" i="59" s="1"/>
  <c r="J343" i="59" s="1"/>
  <c r="F372" i="59"/>
  <c r="H372" i="59" s="1"/>
  <c r="J372" i="59" s="1"/>
  <c r="C342" i="59"/>
  <c r="C371" i="59"/>
  <c r="C340" i="59"/>
  <c r="C369" i="59"/>
  <c r="C343" i="59"/>
  <c r="C372" i="59"/>
  <c r="C341" i="59"/>
  <c r="C370" i="59"/>
  <c r="C339" i="59"/>
  <c r="C368" i="59"/>
  <c r="D119" i="59"/>
  <c r="D117" i="59"/>
  <c r="D115" i="59"/>
  <c r="D118" i="59"/>
  <c r="D116" i="59"/>
  <c r="E94" i="59"/>
  <c r="C285" i="59"/>
  <c r="D92" i="59"/>
  <c r="C283" i="59"/>
  <c r="E90" i="59"/>
  <c r="C281" i="59"/>
  <c r="E93" i="59"/>
  <c r="C284" i="59"/>
  <c r="E91" i="59"/>
  <c r="C282" i="59"/>
  <c r="C119" i="59"/>
  <c r="C118" i="59"/>
  <c r="C115" i="59"/>
  <c r="C116" i="59"/>
  <c r="C117" i="59"/>
  <c r="D91" i="59"/>
  <c r="D90" i="59"/>
  <c r="E92" i="59"/>
  <c r="D94" i="59"/>
  <c r="D93" i="59"/>
  <c r="E230" i="59"/>
  <c r="E231" i="59"/>
  <c r="E232" i="59"/>
  <c r="E233" i="59"/>
  <c r="E234" i="59"/>
  <c r="Q234" i="59" s="1"/>
  <c r="E235" i="59"/>
  <c r="Q235" i="59" s="1"/>
  <c r="E236" i="59"/>
  <c r="E237" i="59"/>
  <c r="E238" i="59"/>
  <c r="B56" i="57"/>
  <c r="B57" i="57"/>
  <c r="B58" i="57"/>
  <c r="B59" i="57"/>
  <c r="B60" i="57"/>
  <c r="B61" i="57"/>
  <c r="B62" i="57"/>
  <c r="B63" i="57"/>
  <c r="B64" i="57"/>
  <c r="B65" i="57"/>
  <c r="B66" i="57"/>
  <c r="B67" i="57"/>
  <c r="B68" i="57"/>
  <c r="B385" i="59"/>
  <c r="B386" i="59"/>
  <c r="B387" i="59"/>
  <c r="B388" i="59"/>
  <c r="B389" i="59"/>
  <c r="B390" i="59"/>
  <c r="B391" i="59"/>
  <c r="B392" i="59"/>
  <c r="B393" i="59"/>
  <c r="B394" i="59"/>
  <c r="B395" i="59"/>
  <c r="B396" i="59"/>
  <c r="B397" i="59"/>
  <c r="B398" i="59"/>
  <c r="B354" i="59"/>
  <c r="B355" i="59"/>
  <c r="B356" i="59"/>
  <c r="B357" i="59"/>
  <c r="B358" i="59"/>
  <c r="B359" i="59"/>
  <c r="B360" i="59"/>
  <c r="B361" i="59"/>
  <c r="B362" i="59"/>
  <c r="B363" i="59"/>
  <c r="B364" i="59"/>
  <c r="B365" i="59"/>
  <c r="B366" i="59"/>
  <c r="B367" i="59"/>
  <c r="B325" i="59"/>
  <c r="B326" i="59"/>
  <c r="B327" i="59"/>
  <c r="B328" i="59"/>
  <c r="B329" i="59"/>
  <c r="B330" i="59"/>
  <c r="B331" i="59"/>
  <c r="B332" i="59"/>
  <c r="B333" i="59"/>
  <c r="B334" i="59"/>
  <c r="B335" i="59"/>
  <c r="B336" i="59"/>
  <c r="B337" i="59"/>
  <c r="B338" i="59"/>
  <c r="G280" i="59"/>
  <c r="B280" i="59"/>
  <c r="G279" i="59"/>
  <c r="B279" i="59"/>
  <c r="G278" i="59"/>
  <c r="B278" i="59"/>
  <c r="G277" i="59"/>
  <c r="B277" i="59"/>
  <c r="G276" i="59"/>
  <c r="B276" i="59"/>
  <c r="G275" i="59"/>
  <c r="B275" i="59"/>
  <c r="G274" i="59"/>
  <c r="B274" i="59"/>
  <c r="G273" i="59"/>
  <c r="B273" i="59"/>
  <c r="G272" i="59"/>
  <c r="B272" i="59"/>
  <c r="G271" i="59"/>
  <c r="B271" i="59"/>
  <c r="G270" i="59"/>
  <c r="B270" i="59"/>
  <c r="G269" i="59"/>
  <c r="B269" i="59"/>
  <c r="G268" i="59"/>
  <c r="B268" i="59"/>
  <c r="G267" i="59"/>
  <c r="B267" i="59"/>
  <c r="B101" i="59"/>
  <c r="B102" i="59"/>
  <c r="B103" i="59"/>
  <c r="B104" i="59"/>
  <c r="B105" i="59"/>
  <c r="B106" i="59"/>
  <c r="B107" i="59"/>
  <c r="B108" i="59"/>
  <c r="B109" i="59"/>
  <c r="B110" i="59"/>
  <c r="B111" i="59"/>
  <c r="B112" i="59"/>
  <c r="B113" i="59"/>
  <c r="B114" i="59"/>
  <c r="B76" i="59"/>
  <c r="C76" i="59"/>
  <c r="E76" i="59" s="1"/>
  <c r="E267" i="59" s="1"/>
  <c r="F76" i="59"/>
  <c r="F267" i="59" s="1"/>
  <c r="G76" i="59"/>
  <c r="F354" i="59" s="1"/>
  <c r="H354" i="59" s="1"/>
  <c r="J354" i="59" s="1"/>
  <c r="L76" i="59"/>
  <c r="D423" i="59" s="1"/>
  <c r="M76" i="59"/>
  <c r="E423" i="59" s="1"/>
  <c r="P76" i="59"/>
  <c r="H423" i="59" s="1"/>
  <c r="Q76" i="59"/>
  <c r="I423" i="59" s="1"/>
  <c r="T76" i="59"/>
  <c r="L423" i="59" s="1"/>
  <c r="U76" i="59"/>
  <c r="M423" i="59" s="1"/>
  <c r="X76" i="59"/>
  <c r="P423" i="59" s="1"/>
  <c r="Y76" i="59"/>
  <c r="Q423" i="59" s="1"/>
  <c r="AB76" i="59"/>
  <c r="T423" i="59" s="1"/>
  <c r="AC76" i="59"/>
  <c r="U423" i="59" s="1"/>
  <c r="AF76" i="59"/>
  <c r="X423" i="59" s="1"/>
  <c r="AG76" i="59"/>
  <c r="Y423" i="59" s="1"/>
  <c r="AJ76" i="59"/>
  <c r="AB423" i="59" s="1"/>
  <c r="AK76" i="59"/>
  <c r="AC423" i="59" s="1"/>
  <c r="B77" i="59"/>
  <c r="C77" i="59"/>
  <c r="E77" i="59" s="1"/>
  <c r="F77" i="59"/>
  <c r="F268" i="59" s="1"/>
  <c r="G77" i="59"/>
  <c r="L77" i="59"/>
  <c r="D424" i="59" s="1"/>
  <c r="M77" i="59"/>
  <c r="E424" i="59" s="1"/>
  <c r="P77" i="59"/>
  <c r="H424" i="59" s="1"/>
  <c r="Q77" i="59"/>
  <c r="I424" i="59" s="1"/>
  <c r="T77" i="59"/>
  <c r="L424" i="59" s="1"/>
  <c r="U77" i="59"/>
  <c r="M424" i="59" s="1"/>
  <c r="X77" i="59"/>
  <c r="P424" i="59" s="1"/>
  <c r="Y77" i="59"/>
  <c r="Q424" i="59" s="1"/>
  <c r="AB77" i="59"/>
  <c r="T424" i="59" s="1"/>
  <c r="AC77" i="59"/>
  <c r="U424" i="59" s="1"/>
  <c r="AF77" i="59"/>
  <c r="X424" i="59" s="1"/>
  <c r="AG77" i="59"/>
  <c r="Y424" i="59" s="1"/>
  <c r="AJ77" i="59"/>
  <c r="AB424" i="59" s="1"/>
  <c r="AK77" i="59"/>
  <c r="AC424" i="59" s="1"/>
  <c r="B78" i="59"/>
  <c r="C78" i="59"/>
  <c r="E78" i="59" s="1"/>
  <c r="E269" i="59" s="1"/>
  <c r="F78" i="59"/>
  <c r="F269" i="59" s="1"/>
  <c r="G78" i="59"/>
  <c r="L78" i="59"/>
  <c r="D425" i="59" s="1"/>
  <c r="M78" i="59"/>
  <c r="E425" i="59" s="1"/>
  <c r="P78" i="59"/>
  <c r="H425" i="59" s="1"/>
  <c r="Q78" i="59"/>
  <c r="I425" i="59" s="1"/>
  <c r="T78" i="59"/>
  <c r="L425" i="59" s="1"/>
  <c r="U78" i="59"/>
  <c r="M425" i="59" s="1"/>
  <c r="X78" i="59"/>
  <c r="P425" i="59" s="1"/>
  <c r="Y78" i="59"/>
  <c r="Q425" i="59" s="1"/>
  <c r="AB78" i="59"/>
  <c r="T425" i="59" s="1"/>
  <c r="AC78" i="59"/>
  <c r="U425" i="59" s="1"/>
  <c r="AF78" i="59"/>
  <c r="X425" i="59" s="1"/>
  <c r="AG78" i="59"/>
  <c r="Y425" i="59" s="1"/>
  <c r="AJ78" i="59"/>
  <c r="AB425" i="59" s="1"/>
  <c r="AK78" i="59"/>
  <c r="AC425" i="59" s="1"/>
  <c r="B79" i="59"/>
  <c r="C79" i="59"/>
  <c r="E79" i="59" s="1"/>
  <c r="F79" i="59"/>
  <c r="F270" i="59" s="1"/>
  <c r="G79" i="59"/>
  <c r="L79" i="59"/>
  <c r="D426" i="59" s="1"/>
  <c r="M79" i="59"/>
  <c r="E426" i="59" s="1"/>
  <c r="P79" i="59"/>
  <c r="H426" i="59" s="1"/>
  <c r="Q79" i="59"/>
  <c r="I426" i="59" s="1"/>
  <c r="T79" i="59"/>
  <c r="L426" i="59" s="1"/>
  <c r="U79" i="59"/>
  <c r="M426" i="59" s="1"/>
  <c r="X79" i="59"/>
  <c r="P426" i="59" s="1"/>
  <c r="Y79" i="59"/>
  <c r="Q426" i="59" s="1"/>
  <c r="AB79" i="59"/>
  <c r="T426" i="59" s="1"/>
  <c r="AC79" i="59"/>
  <c r="U426" i="59" s="1"/>
  <c r="AF79" i="59"/>
  <c r="X426" i="59" s="1"/>
  <c r="AG79" i="59"/>
  <c r="Y426" i="59" s="1"/>
  <c r="AJ79" i="59"/>
  <c r="AB426" i="59" s="1"/>
  <c r="AK79" i="59"/>
  <c r="AC426" i="59" s="1"/>
  <c r="B80" i="59"/>
  <c r="C80" i="59"/>
  <c r="E80" i="59" s="1"/>
  <c r="F80" i="59"/>
  <c r="F271" i="59" s="1"/>
  <c r="G80" i="59"/>
  <c r="L80" i="59"/>
  <c r="D427" i="59" s="1"/>
  <c r="M80" i="59"/>
  <c r="E427" i="59" s="1"/>
  <c r="P80" i="59"/>
  <c r="H427" i="59" s="1"/>
  <c r="Q80" i="59"/>
  <c r="I427" i="59" s="1"/>
  <c r="T80" i="59"/>
  <c r="L427" i="59" s="1"/>
  <c r="U80" i="59"/>
  <c r="M427" i="59" s="1"/>
  <c r="X80" i="59"/>
  <c r="P427" i="59" s="1"/>
  <c r="Y80" i="59"/>
  <c r="Q427" i="59" s="1"/>
  <c r="AB80" i="59"/>
  <c r="T427" i="59" s="1"/>
  <c r="AC80" i="59"/>
  <c r="U427" i="59" s="1"/>
  <c r="AF80" i="59"/>
  <c r="X427" i="59" s="1"/>
  <c r="AG80" i="59"/>
  <c r="Y427" i="59" s="1"/>
  <c r="AJ80" i="59"/>
  <c r="AB427" i="59" s="1"/>
  <c r="AK80" i="59"/>
  <c r="AC427" i="59" s="1"/>
  <c r="B81" i="59"/>
  <c r="C81" i="59"/>
  <c r="C272" i="59" s="1"/>
  <c r="F81" i="59"/>
  <c r="F272" i="59" s="1"/>
  <c r="G81" i="59"/>
  <c r="L81" i="59"/>
  <c r="D428" i="59" s="1"/>
  <c r="M81" i="59"/>
  <c r="E428" i="59" s="1"/>
  <c r="P81" i="59"/>
  <c r="H428" i="59" s="1"/>
  <c r="Q81" i="59"/>
  <c r="I428" i="59" s="1"/>
  <c r="T81" i="59"/>
  <c r="L428" i="59" s="1"/>
  <c r="U81" i="59"/>
  <c r="M428" i="59" s="1"/>
  <c r="X81" i="59"/>
  <c r="P428" i="59" s="1"/>
  <c r="Y81" i="59"/>
  <c r="Q428" i="59" s="1"/>
  <c r="AB81" i="59"/>
  <c r="T428" i="59" s="1"/>
  <c r="AC81" i="59"/>
  <c r="U428" i="59" s="1"/>
  <c r="AF81" i="59"/>
  <c r="X428" i="59" s="1"/>
  <c r="AG81" i="59"/>
  <c r="Y428" i="59" s="1"/>
  <c r="AJ81" i="59"/>
  <c r="AB428" i="59" s="1"/>
  <c r="AK81" i="59"/>
  <c r="AC428" i="59" s="1"/>
  <c r="B82" i="59"/>
  <c r="C82" i="59"/>
  <c r="F82" i="59"/>
  <c r="F273" i="59" s="1"/>
  <c r="G82" i="59"/>
  <c r="L82" i="59"/>
  <c r="D429" i="59" s="1"/>
  <c r="M82" i="59"/>
  <c r="E429" i="59" s="1"/>
  <c r="P82" i="59"/>
  <c r="H429" i="59" s="1"/>
  <c r="Q82" i="59"/>
  <c r="I429" i="59" s="1"/>
  <c r="T82" i="59"/>
  <c r="L429" i="59" s="1"/>
  <c r="U82" i="59"/>
  <c r="M429" i="59" s="1"/>
  <c r="X82" i="59"/>
  <c r="P429" i="59" s="1"/>
  <c r="Y82" i="59"/>
  <c r="Q429" i="59" s="1"/>
  <c r="AB82" i="59"/>
  <c r="T429" i="59" s="1"/>
  <c r="AC82" i="59"/>
  <c r="U429" i="59" s="1"/>
  <c r="AF82" i="59"/>
  <c r="X429" i="59" s="1"/>
  <c r="AG82" i="59"/>
  <c r="Y429" i="59" s="1"/>
  <c r="AJ82" i="59"/>
  <c r="AB429" i="59" s="1"/>
  <c r="AK82" i="59"/>
  <c r="AC429" i="59" s="1"/>
  <c r="B83" i="59"/>
  <c r="C83" i="59"/>
  <c r="C108" i="59" s="1"/>
  <c r="F83" i="59"/>
  <c r="F274" i="59" s="1"/>
  <c r="G83" i="59"/>
  <c r="L83" i="59"/>
  <c r="D430" i="59" s="1"/>
  <c r="M83" i="59"/>
  <c r="E430" i="59" s="1"/>
  <c r="P83" i="59"/>
  <c r="H430" i="59" s="1"/>
  <c r="Q83" i="59"/>
  <c r="I430" i="59" s="1"/>
  <c r="T83" i="59"/>
  <c r="L430" i="59" s="1"/>
  <c r="U83" i="59"/>
  <c r="M430" i="59" s="1"/>
  <c r="X83" i="59"/>
  <c r="P430" i="59" s="1"/>
  <c r="Y83" i="59"/>
  <c r="Q430" i="59" s="1"/>
  <c r="AB83" i="59"/>
  <c r="T430" i="59" s="1"/>
  <c r="AC83" i="59"/>
  <c r="U430" i="59" s="1"/>
  <c r="AF83" i="59"/>
  <c r="X430" i="59" s="1"/>
  <c r="AG83" i="59"/>
  <c r="Y430" i="59" s="1"/>
  <c r="AJ83" i="59"/>
  <c r="AB430" i="59" s="1"/>
  <c r="AK83" i="59"/>
  <c r="AC430" i="59" s="1"/>
  <c r="B84" i="59"/>
  <c r="C84" i="59"/>
  <c r="F84" i="59"/>
  <c r="F275" i="59" s="1"/>
  <c r="G84" i="59"/>
  <c r="L84" i="59"/>
  <c r="D431" i="59" s="1"/>
  <c r="M84" i="59"/>
  <c r="E431" i="59" s="1"/>
  <c r="P84" i="59"/>
  <c r="H431" i="59" s="1"/>
  <c r="Q84" i="59"/>
  <c r="I431" i="59" s="1"/>
  <c r="T84" i="59"/>
  <c r="L431" i="59" s="1"/>
  <c r="U84" i="59"/>
  <c r="M431" i="59" s="1"/>
  <c r="X84" i="59"/>
  <c r="P431" i="59" s="1"/>
  <c r="Y84" i="59"/>
  <c r="Q431" i="59" s="1"/>
  <c r="AB84" i="59"/>
  <c r="T431" i="59" s="1"/>
  <c r="AC84" i="59"/>
  <c r="U431" i="59" s="1"/>
  <c r="AF84" i="59"/>
  <c r="X431" i="59" s="1"/>
  <c r="AG84" i="59"/>
  <c r="Y431" i="59" s="1"/>
  <c r="AJ84" i="59"/>
  <c r="AB431" i="59" s="1"/>
  <c r="AK84" i="59"/>
  <c r="AC431" i="59" s="1"/>
  <c r="B85" i="59"/>
  <c r="C85" i="59"/>
  <c r="F85" i="59"/>
  <c r="F276" i="59" s="1"/>
  <c r="G85" i="59"/>
  <c r="L85" i="59"/>
  <c r="D432" i="59" s="1"/>
  <c r="M85" i="59"/>
  <c r="E432" i="59" s="1"/>
  <c r="P85" i="59"/>
  <c r="H432" i="59" s="1"/>
  <c r="Q85" i="59"/>
  <c r="I432" i="59" s="1"/>
  <c r="T85" i="59"/>
  <c r="L432" i="59" s="1"/>
  <c r="U85" i="59"/>
  <c r="M432" i="59" s="1"/>
  <c r="X85" i="59"/>
  <c r="P432" i="59" s="1"/>
  <c r="Y85" i="59"/>
  <c r="Q432" i="59" s="1"/>
  <c r="AB85" i="59"/>
  <c r="T432" i="59" s="1"/>
  <c r="AC85" i="59"/>
  <c r="U432" i="59" s="1"/>
  <c r="AF85" i="59"/>
  <c r="X432" i="59" s="1"/>
  <c r="AG85" i="59"/>
  <c r="Y432" i="59" s="1"/>
  <c r="AJ85" i="59"/>
  <c r="AB432" i="59" s="1"/>
  <c r="AK85" i="59"/>
  <c r="AC432" i="59" s="1"/>
  <c r="B86" i="59"/>
  <c r="C86" i="59"/>
  <c r="F86" i="59"/>
  <c r="F277" i="59" s="1"/>
  <c r="G86" i="59"/>
  <c r="L86" i="59"/>
  <c r="D433" i="59" s="1"/>
  <c r="M86" i="59"/>
  <c r="E433" i="59" s="1"/>
  <c r="P86" i="59"/>
  <c r="H433" i="59" s="1"/>
  <c r="Q86" i="59"/>
  <c r="I433" i="59" s="1"/>
  <c r="T86" i="59"/>
  <c r="L433" i="59" s="1"/>
  <c r="U86" i="59"/>
  <c r="M433" i="59" s="1"/>
  <c r="X86" i="59"/>
  <c r="P433" i="59" s="1"/>
  <c r="Y86" i="59"/>
  <c r="Q433" i="59" s="1"/>
  <c r="AB86" i="59"/>
  <c r="T433" i="59" s="1"/>
  <c r="AC86" i="59"/>
  <c r="U433" i="59" s="1"/>
  <c r="AF86" i="59"/>
  <c r="X433" i="59" s="1"/>
  <c r="AG86" i="59"/>
  <c r="Y433" i="59" s="1"/>
  <c r="AJ86" i="59"/>
  <c r="AB433" i="59" s="1"/>
  <c r="AK86" i="59"/>
  <c r="AC433" i="59" s="1"/>
  <c r="B87" i="59"/>
  <c r="C87" i="59"/>
  <c r="F87" i="59"/>
  <c r="F278" i="59" s="1"/>
  <c r="G87" i="59"/>
  <c r="L87" i="59"/>
  <c r="D434" i="59" s="1"/>
  <c r="M87" i="59"/>
  <c r="E434" i="59" s="1"/>
  <c r="P87" i="59"/>
  <c r="H434" i="59" s="1"/>
  <c r="Q87" i="59"/>
  <c r="I434" i="59" s="1"/>
  <c r="T87" i="59"/>
  <c r="L434" i="59" s="1"/>
  <c r="U87" i="59"/>
  <c r="M434" i="59" s="1"/>
  <c r="X87" i="59"/>
  <c r="P434" i="59" s="1"/>
  <c r="Y87" i="59"/>
  <c r="Q434" i="59" s="1"/>
  <c r="AB87" i="59"/>
  <c r="T434" i="59" s="1"/>
  <c r="AC87" i="59"/>
  <c r="U434" i="59" s="1"/>
  <c r="AF87" i="59"/>
  <c r="X434" i="59" s="1"/>
  <c r="AG87" i="59"/>
  <c r="Y434" i="59" s="1"/>
  <c r="AJ87" i="59"/>
  <c r="AB434" i="59" s="1"/>
  <c r="AK87" i="59"/>
  <c r="AC434" i="59" s="1"/>
  <c r="B88" i="59"/>
  <c r="C88" i="59"/>
  <c r="F88" i="59"/>
  <c r="F279" i="59" s="1"/>
  <c r="G88" i="59"/>
  <c r="L88" i="59"/>
  <c r="D435" i="59" s="1"/>
  <c r="M88" i="59"/>
  <c r="E435" i="59" s="1"/>
  <c r="P88" i="59"/>
  <c r="H435" i="59" s="1"/>
  <c r="Q88" i="59"/>
  <c r="I435" i="59" s="1"/>
  <c r="T88" i="59"/>
  <c r="L435" i="59" s="1"/>
  <c r="U88" i="59"/>
  <c r="M435" i="59" s="1"/>
  <c r="X88" i="59"/>
  <c r="P435" i="59" s="1"/>
  <c r="Y88" i="59"/>
  <c r="Q435" i="59" s="1"/>
  <c r="AB88" i="59"/>
  <c r="T435" i="59" s="1"/>
  <c r="AC88" i="59"/>
  <c r="U435" i="59" s="1"/>
  <c r="AF88" i="59"/>
  <c r="X435" i="59" s="1"/>
  <c r="AG88" i="59"/>
  <c r="Y435" i="59" s="1"/>
  <c r="AJ88" i="59"/>
  <c r="AB435" i="59" s="1"/>
  <c r="AK88" i="59"/>
  <c r="AC435" i="59" s="1"/>
  <c r="B89" i="59"/>
  <c r="C89" i="59"/>
  <c r="C114" i="59" s="1"/>
  <c r="F89" i="59"/>
  <c r="F280" i="59" s="1"/>
  <c r="G89" i="59"/>
  <c r="L89" i="59"/>
  <c r="D436" i="59" s="1"/>
  <c r="M89" i="59"/>
  <c r="E436" i="59" s="1"/>
  <c r="P89" i="59"/>
  <c r="H436" i="59" s="1"/>
  <c r="Q89" i="59"/>
  <c r="I436" i="59" s="1"/>
  <c r="T89" i="59"/>
  <c r="L436" i="59" s="1"/>
  <c r="U89" i="59"/>
  <c r="M436" i="59" s="1"/>
  <c r="X89" i="59"/>
  <c r="P436" i="59" s="1"/>
  <c r="Y89" i="59"/>
  <c r="Q436" i="59" s="1"/>
  <c r="AB89" i="59"/>
  <c r="T436" i="59" s="1"/>
  <c r="AC89" i="59"/>
  <c r="U436" i="59" s="1"/>
  <c r="AF89" i="59"/>
  <c r="X436" i="59" s="1"/>
  <c r="AG89" i="59"/>
  <c r="Y436" i="59" s="1"/>
  <c r="AJ89" i="59"/>
  <c r="AB436" i="59" s="1"/>
  <c r="AK89" i="59"/>
  <c r="AC436" i="59" s="1"/>
  <c r="B56" i="59"/>
  <c r="B57" i="59"/>
  <c r="B58" i="59"/>
  <c r="B59" i="59"/>
  <c r="B60" i="59"/>
  <c r="B61" i="59"/>
  <c r="B62" i="59"/>
  <c r="I224" i="59"/>
  <c r="I223" i="59"/>
  <c r="I222" i="59"/>
  <c r="I221" i="59"/>
  <c r="I220" i="59"/>
  <c r="D21" i="59"/>
  <c r="E21" i="59"/>
  <c r="F21" i="59"/>
  <c r="G21" i="59"/>
  <c r="H21" i="59"/>
  <c r="I21" i="59"/>
  <c r="N110" i="57"/>
  <c r="N102" i="57"/>
  <c r="N103" i="57"/>
  <c r="N104" i="57"/>
  <c r="N105" i="57"/>
  <c r="N106" i="57"/>
  <c r="N107" i="57"/>
  <c r="N108" i="57"/>
  <c r="N109" i="57"/>
  <c r="N101" i="57"/>
  <c r="N111" i="57"/>
  <c r="B353" i="59"/>
  <c r="C113" i="59" l="1"/>
  <c r="C112" i="59"/>
  <c r="C110" i="59"/>
  <c r="C111" i="59"/>
  <c r="C109" i="59"/>
  <c r="C107" i="59"/>
  <c r="G24" i="59"/>
  <c r="G29" i="59" s="1"/>
  <c r="H24" i="59"/>
  <c r="H29" i="59" s="1"/>
  <c r="D24" i="59"/>
  <c r="D29" i="59" s="1"/>
  <c r="I24" i="59"/>
  <c r="I29" i="59" s="1"/>
  <c r="E24" i="59"/>
  <c r="E29" i="59" s="1"/>
  <c r="F24" i="59"/>
  <c r="F29" i="59" s="1"/>
  <c r="F32" i="59" s="1"/>
  <c r="E271" i="59"/>
  <c r="D368" i="59"/>
  <c r="D281" i="59"/>
  <c r="E368" i="59"/>
  <c r="E281" i="59"/>
  <c r="V281" i="59" s="1"/>
  <c r="M512" i="59" s="1"/>
  <c r="E370" i="59"/>
  <c r="E283" i="59"/>
  <c r="V283" i="59" s="1"/>
  <c r="M514" i="59" s="1"/>
  <c r="E270" i="59"/>
  <c r="E268" i="59"/>
  <c r="D372" i="59"/>
  <c r="D285" i="59"/>
  <c r="E371" i="59"/>
  <c r="E284" i="59"/>
  <c r="V284" i="59" s="1"/>
  <c r="M515" i="59" s="1"/>
  <c r="D370" i="59"/>
  <c r="D283" i="59"/>
  <c r="E369" i="59"/>
  <c r="E282" i="59"/>
  <c r="V282" i="59" s="1"/>
  <c r="M513" i="59" s="1"/>
  <c r="E372" i="59"/>
  <c r="E285" i="59"/>
  <c r="V285" i="59" s="1"/>
  <c r="M516" i="59" s="1"/>
  <c r="D371" i="59"/>
  <c r="D284" i="59"/>
  <c r="D369" i="59"/>
  <c r="D282" i="59"/>
  <c r="C136" i="59"/>
  <c r="C134" i="59"/>
  <c r="C132" i="59"/>
  <c r="C141" i="59"/>
  <c r="C139" i="59"/>
  <c r="C137" i="59"/>
  <c r="C135" i="59"/>
  <c r="C133" i="59"/>
  <c r="C131" i="59"/>
  <c r="C129" i="59"/>
  <c r="C140" i="59"/>
  <c r="C138" i="59"/>
  <c r="C130" i="59"/>
  <c r="C128" i="59"/>
  <c r="D109" i="59"/>
  <c r="F362" i="59"/>
  <c r="H362" i="59" s="1"/>
  <c r="J362" i="59" s="1"/>
  <c r="F333" i="59"/>
  <c r="H333" i="59" s="1"/>
  <c r="J333" i="59" s="1"/>
  <c r="D107" i="59"/>
  <c r="F331" i="59"/>
  <c r="H331" i="59" s="1"/>
  <c r="J331" i="59" s="1"/>
  <c r="F360" i="59"/>
  <c r="H360" i="59" s="1"/>
  <c r="J360" i="59" s="1"/>
  <c r="D103" i="59"/>
  <c r="F327" i="59"/>
  <c r="H327" i="59" s="1"/>
  <c r="J327" i="59" s="1"/>
  <c r="F356" i="59"/>
  <c r="H356" i="59" s="1"/>
  <c r="J356" i="59" s="1"/>
  <c r="D111" i="59"/>
  <c r="F335" i="59"/>
  <c r="H335" i="59" s="1"/>
  <c r="J335" i="59" s="1"/>
  <c r="F364" i="59"/>
  <c r="H364" i="59" s="1"/>
  <c r="J364" i="59" s="1"/>
  <c r="D114" i="59"/>
  <c r="F367" i="59"/>
  <c r="H367" i="59" s="1"/>
  <c r="J367" i="59" s="1"/>
  <c r="F338" i="59"/>
  <c r="H338" i="59" s="1"/>
  <c r="J338" i="59" s="1"/>
  <c r="D112" i="59"/>
  <c r="F365" i="59"/>
  <c r="H365" i="59" s="1"/>
  <c r="J365" i="59" s="1"/>
  <c r="F336" i="59"/>
  <c r="H336" i="59" s="1"/>
  <c r="J336" i="59" s="1"/>
  <c r="D110" i="59"/>
  <c r="F334" i="59"/>
  <c r="H334" i="59" s="1"/>
  <c r="J334" i="59" s="1"/>
  <c r="F363" i="59"/>
  <c r="H363" i="59" s="1"/>
  <c r="J363" i="59" s="1"/>
  <c r="D108" i="59"/>
  <c r="F361" i="59"/>
  <c r="H361" i="59" s="1"/>
  <c r="J361" i="59" s="1"/>
  <c r="F332" i="59"/>
  <c r="H332" i="59" s="1"/>
  <c r="J332" i="59" s="1"/>
  <c r="D106" i="59"/>
  <c r="F359" i="59"/>
  <c r="H359" i="59" s="1"/>
  <c r="J359" i="59" s="1"/>
  <c r="F330" i="59"/>
  <c r="H330" i="59" s="1"/>
  <c r="J330" i="59" s="1"/>
  <c r="D104" i="59"/>
  <c r="F328" i="59"/>
  <c r="H328" i="59" s="1"/>
  <c r="J328" i="59" s="1"/>
  <c r="F357" i="59"/>
  <c r="H357" i="59" s="1"/>
  <c r="J357" i="59" s="1"/>
  <c r="D102" i="59"/>
  <c r="F355" i="59"/>
  <c r="H355" i="59" s="1"/>
  <c r="J355" i="59" s="1"/>
  <c r="F326" i="59"/>
  <c r="H326" i="59" s="1"/>
  <c r="J326" i="59" s="1"/>
  <c r="D113" i="59"/>
  <c r="F366" i="59"/>
  <c r="H366" i="59" s="1"/>
  <c r="J366" i="59" s="1"/>
  <c r="F337" i="59"/>
  <c r="H337" i="59" s="1"/>
  <c r="J337" i="59" s="1"/>
  <c r="D105" i="59"/>
  <c r="F358" i="59"/>
  <c r="H358" i="59" s="1"/>
  <c r="J358" i="59" s="1"/>
  <c r="F329" i="59"/>
  <c r="H329" i="59" s="1"/>
  <c r="J329" i="59" s="1"/>
  <c r="D101" i="59"/>
  <c r="F325" i="59"/>
  <c r="H325" i="59" s="1"/>
  <c r="J325" i="59" s="1"/>
  <c r="D339" i="59"/>
  <c r="E339" i="59"/>
  <c r="E343" i="59"/>
  <c r="E341" i="59"/>
  <c r="D343" i="59"/>
  <c r="E342" i="59"/>
  <c r="D341" i="59"/>
  <c r="E340" i="59"/>
  <c r="D342" i="59"/>
  <c r="D340" i="59"/>
  <c r="C354" i="59"/>
  <c r="C366" i="59"/>
  <c r="C362" i="59"/>
  <c r="E356" i="59"/>
  <c r="C358" i="59"/>
  <c r="C365" i="59"/>
  <c r="C361" i="59"/>
  <c r="C357" i="59"/>
  <c r="E355" i="59"/>
  <c r="C367" i="59"/>
  <c r="C364" i="59"/>
  <c r="C363" i="59"/>
  <c r="C360" i="59"/>
  <c r="C359" i="59"/>
  <c r="E358" i="59"/>
  <c r="E357" i="59"/>
  <c r="C356" i="59"/>
  <c r="C355" i="59"/>
  <c r="E354" i="59"/>
  <c r="C337" i="59"/>
  <c r="C333" i="59"/>
  <c r="E327" i="59"/>
  <c r="C325" i="59"/>
  <c r="C329" i="59"/>
  <c r="C338" i="59"/>
  <c r="C326" i="59"/>
  <c r="C334" i="59"/>
  <c r="C330" i="59"/>
  <c r="E328" i="59"/>
  <c r="C336" i="59"/>
  <c r="C335" i="59"/>
  <c r="C332" i="59"/>
  <c r="C331" i="59"/>
  <c r="E329" i="59"/>
  <c r="C328" i="59"/>
  <c r="C327" i="59"/>
  <c r="E326" i="59"/>
  <c r="E325" i="59"/>
  <c r="C267" i="59"/>
  <c r="C271" i="59"/>
  <c r="C275" i="59"/>
  <c r="C277" i="59"/>
  <c r="C270" i="59"/>
  <c r="C268" i="59"/>
  <c r="C279" i="59"/>
  <c r="C269" i="59"/>
  <c r="C273" i="59"/>
  <c r="C280" i="59"/>
  <c r="C274" i="59"/>
  <c r="C276" i="59"/>
  <c r="C278" i="59"/>
  <c r="C102" i="59"/>
  <c r="C106" i="59"/>
  <c r="C101" i="59"/>
  <c r="C104" i="59"/>
  <c r="C105" i="59"/>
  <c r="C103" i="59"/>
  <c r="E88" i="59"/>
  <c r="D88" i="59"/>
  <c r="E86" i="59"/>
  <c r="D86" i="59"/>
  <c r="E84" i="59"/>
  <c r="D84" i="59"/>
  <c r="E82" i="59"/>
  <c r="D82" i="59"/>
  <c r="E89" i="59"/>
  <c r="D89" i="59"/>
  <c r="E87" i="59"/>
  <c r="D87" i="59"/>
  <c r="E85" i="59"/>
  <c r="D85" i="59"/>
  <c r="E83" i="59"/>
  <c r="D83" i="59"/>
  <c r="E81" i="59"/>
  <c r="D81" i="59"/>
  <c r="D80" i="59"/>
  <c r="D79" i="59"/>
  <c r="D78" i="59"/>
  <c r="D77" i="59"/>
  <c r="D76" i="59"/>
  <c r="K554" i="59" l="1"/>
  <c r="M554" i="59" s="1"/>
  <c r="G554" i="59"/>
  <c r="I554" i="59" s="1"/>
  <c r="C554" i="59"/>
  <c r="E554" i="59" s="1"/>
  <c r="K558" i="59"/>
  <c r="M558" i="59" s="1"/>
  <c r="G558" i="59"/>
  <c r="I558" i="59" s="1"/>
  <c r="C558" i="59"/>
  <c r="E558" i="59" s="1"/>
  <c r="F545" i="59"/>
  <c r="H545" i="59" s="1"/>
  <c r="J545" i="59"/>
  <c r="L545" i="59" s="1"/>
  <c r="J546" i="59"/>
  <c r="L546" i="59" s="1"/>
  <c r="F546" i="59"/>
  <c r="H546" i="59" s="1"/>
  <c r="J542" i="59"/>
  <c r="L542" i="59" s="1"/>
  <c r="F542" i="59"/>
  <c r="H542" i="59" s="1"/>
  <c r="K528" i="59"/>
  <c r="M528" i="59" s="1"/>
  <c r="G528" i="59"/>
  <c r="I528" i="59" s="1"/>
  <c r="C528" i="59"/>
  <c r="E528" i="59" s="1"/>
  <c r="G532" i="59"/>
  <c r="I532" i="59" s="1"/>
  <c r="C532" i="59"/>
  <c r="E532" i="59" s="1"/>
  <c r="K532" i="59"/>
  <c r="M532" i="59" s="1"/>
  <c r="K530" i="59"/>
  <c r="M530" i="59" s="1"/>
  <c r="G530" i="59"/>
  <c r="I530" i="59" s="1"/>
  <c r="C530" i="59"/>
  <c r="E530" i="59" s="1"/>
  <c r="K543" i="59"/>
  <c r="M543" i="59" s="1"/>
  <c r="G543" i="59"/>
  <c r="I543" i="59" s="1"/>
  <c r="C543" i="59"/>
  <c r="E543" i="59" s="1"/>
  <c r="K544" i="59"/>
  <c r="M544" i="59" s="1"/>
  <c r="G544" i="59"/>
  <c r="I544" i="59" s="1"/>
  <c r="C544" i="59"/>
  <c r="E544" i="59" s="1"/>
  <c r="J569" i="59"/>
  <c r="L569" i="59" s="1"/>
  <c r="F569" i="59"/>
  <c r="H569" i="59" s="1"/>
  <c r="B569" i="59"/>
  <c r="D569" i="59" s="1"/>
  <c r="B543" i="59"/>
  <c r="D543" i="59" s="1"/>
  <c r="K572" i="59"/>
  <c r="M572" i="59" s="1"/>
  <c r="G572" i="59"/>
  <c r="I572" i="59" s="1"/>
  <c r="C572" i="59"/>
  <c r="E572" i="59" s="1"/>
  <c r="J570" i="59"/>
  <c r="L570" i="59" s="1"/>
  <c r="F570" i="59"/>
  <c r="H570" i="59" s="1"/>
  <c r="B544" i="59"/>
  <c r="D544" i="59" s="1"/>
  <c r="B570" i="59"/>
  <c r="D570" i="59" s="1"/>
  <c r="J572" i="59"/>
  <c r="L572" i="59" s="1"/>
  <c r="F572" i="59"/>
  <c r="H572" i="59" s="1"/>
  <c r="B546" i="59"/>
  <c r="D546" i="59" s="1"/>
  <c r="B572" i="59"/>
  <c r="D572" i="59" s="1"/>
  <c r="K570" i="59"/>
  <c r="M570" i="59" s="1"/>
  <c r="G570" i="59"/>
  <c r="I570" i="59" s="1"/>
  <c r="C570" i="59"/>
  <c r="E570" i="59" s="1"/>
  <c r="J568" i="59"/>
  <c r="L568" i="59" s="1"/>
  <c r="F568" i="59"/>
  <c r="H568" i="59" s="1"/>
  <c r="B542" i="59"/>
  <c r="D542" i="59" s="1"/>
  <c r="B568" i="59"/>
  <c r="D568" i="59" s="1"/>
  <c r="K529" i="59"/>
  <c r="M529" i="59" s="1"/>
  <c r="G529" i="59"/>
  <c r="I529" i="59" s="1"/>
  <c r="C529" i="59"/>
  <c r="E529" i="59" s="1"/>
  <c r="K531" i="59"/>
  <c r="M531" i="59" s="1"/>
  <c r="G531" i="59"/>
  <c r="I531" i="59" s="1"/>
  <c r="C531" i="59"/>
  <c r="E531" i="59" s="1"/>
  <c r="K555" i="59"/>
  <c r="M555" i="59" s="1"/>
  <c r="G555" i="59"/>
  <c r="I555" i="59" s="1"/>
  <c r="C555" i="59"/>
  <c r="E555" i="59" s="1"/>
  <c r="J544" i="59"/>
  <c r="L544" i="59" s="1"/>
  <c r="F544" i="59"/>
  <c r="H544" i="59" s="1"/>
  <c r="K546" i="59"/>
  <c r="M546" i="59" s="1"/>
  <c r="G546" i="59"/>
  <c r="I546" i="59" s="1"/>
  <c r="C546" i="59"/>
  <c r="E546" i="59" s="1"/>
  <c r="K557" i="59"/>
  <c r="M557" i="59" s="1"/>
  <c r="G557" i="59"/>
  <c r="I557" i="59" s="1"/>
  <c r="C557" i="59"/>
  <c r="E557" i="59" s="1"/>
  <c r="K556" i="59"/>
  <c r="M556" i="59" s="1"/>
  <c r="G556" i="59"/>
  <c r="I556" i="59" s="1"/>
  <c r="C556" i="59"/>
  <c r="E556" i="59" s="1"/>
  <c r="F543" i="59"/>
  <c r="H543" i="59" s="1"/>
  <c r="J543" i="59"/>
  <c r="L543" i="59" s="1"/>
  <c r="K545" i="59"/>
  <c r="M545" i="59" s="1"/>
  <c r="G545" i="59"/>
  <c r="I545" i="59" s="1"/>
  <c r="C545" i="59"/>
  <c r="E545" i="59" s="1"/>
  <c r="G542" i="59"/>
  <c r="I542" i="59" s="1"/>
  <c r="K542" i="59"/>
  <c r="M542" i="59" s="1"/>
  <c r="C542" i="59"/>
  <c r="E542" i="59" s="1"/>
  <c r="J571" i="59"/>
  <c r="L571" i="59" s="1"/>
  <c r="F571" i="59"/>
  <c r="H571" i="59" s="1"/>
  <c r="B571" i="59"/>
  <c r="D571" i="59" s="1"/>
  <c r="B545" i="59"/>
  <c r="D545" i="59" s="1"/>
  <c r="K569" i="59"/>
  <c r="M569" i="59" s="1"/>
  <c r="G569" i="59"/>
  <c r="I569" i="59" s="1"/>
  <c r="C569" i="59"/>
  <c r="E569" i="59" s="1"/>
  <c r="K571" i="59"/>
  <c r="M571" i="59" s="1"/>
  <c r="G571" i="59"/>
  <c r="I571" i="59" s="1"/>
  <c r="C571" i="59"/>
  <c r="E571" i="59" s="1"/>
  <c r="K568" i="59"/>
  <c r="M568" i="59" s="1"/>
  <c r="G568" i="59"/>
  <c r="I568" i="59" s="1"/>
  <c r="C568" i="59"/>
  <c r="E568" i="59" s="1"/>
  <c r="P284" i="59"/>
  <c r="G515" i="59" s="1"/>
  <c r="P271" i="59"/>
  <c r="G502" i="59" s="1"/>
  <c r="O284" i="59"/>
  <c r="F515" i="59" s="1"/>
  <c r="P281" i="59"/>
  <c r="G512" i="59" s="1"/>
  <c r="P282" i="59"/>
  <c r="G513" i="59" s="1"/>
  <c r="O282" i="59"/>
  <c r="F513" i="59" s="1"/>
  <c r="P285" i="59"/>
  <c r="G516" i="59" s="1"/>
  <c r="O283" i="59"/>
  <c r="F514" i="59" s="1"/>
  <c r="O285" i="59"/>
  <c r="F516" i="59" s="1"/>
  <c r="P283" i="59"/>
  <c r="G514" i="59" s="1"/>
  <c r="O281" i="59"/>
  <c r="F512" i="59" s="1"/>
  <c r="P369" i="59"/>
  <c r="R369" i="59" s="1"/>
  <c r="L369" i="59"/>
  <c r="N369" i="59" s="1"/>
  <c r="K369" i="59"/>
  <c r="M369" i="59" s="1"/>
  <c r="O369" i="59"/>
  <c r="Q369" i="59" s="1"/>
  <c r="P372" i="59"/>
  <c r="R372" i="59" s="1"/>
  <c r="L372" i="59"/>
  <c r="N372" i="59" s="1"/>
  <c r="K370" i="59"/>
  <c r="M370" i="59" s="1"/>
  <c r="O370" i="59"/>
  <c r="Q370" i="59" s="1"/>
  <c r="K372" i="59"/>
  <c r="M372" i="59" s="1"/>
  <c r="O372" i="59"/>
  <c r="Q372" i="59" s="1"/>
  <c r="P370" i="59"/>
  <c r="R370" i="59" s="1"/>
  <c r="L370" i="59"/>
  <c r="N370" i="59" s="1"/>
  <c r="K368" i="59"/>
  <c r="M368" i="59" s="1"/>
  <c r="O368" i="59"/>
  <c r="Q368" i="59" s="1"/>
  <c r="P357" i="59"/>
  <c r="R357" i="59" s="1"/>
  <c r="L357" i="59"/>
  <c r="N357" i="59" s="1"/>
  <c r="P356" i="59"/>
  <c r="R356" i="59" s="1"/>
  <c r="L356" i="59"/>
  <c r="N356" i="59" s="1"/>
  <c r="O371" i="59"/>
  <c r="Q371" i="59" s="1"/>
  <c r="K371" i="59"/>
  <c r="M371" i="59" s="1"/>
  <c r="L371" i="59"/>
  <c r="N371" i="59" s="1"/>
  <c r="P371" i="59"/>
  <c r="R371" i="59" s="1"/>
  <c r="P368" i="59"/>
  <c r="R368" i="59" s="1"/>
  <c r="L368" i="59"/>
  <c r="N368" i="59" s="1"/>
  <c r="P354" i="59"/>
  <c r="R354" i="59" s="1"/>
  <c r="L354" i="59"/>
  <c r="N354" i="59" s="1"/>
  <c r="P358" i="59"/>
  <c r="R358" i="59" s="1"/>
  <c r="L358" i="59"/>
  <c r="N358" i="59" s="1"/>
  <c r="L355" i="59"/>
  <c r="N355" i="59" s="1"/>
  <c r="P355" i="59"/>
  <c r="R355" i="59" s="1"/>
  <c r="P325" i="59"/>
  <c r="R325" i="59" s="1"/>
  <c r="L325" i="59"/>
  <c r="N325" i="59" s="1"/>
  <c r="O342" i="59"/>
  <c r="Q342" i="59" s="1"/>
  <c r="K342" i="59"/>
  <c r="M342" i="59" s="1"/>
  <c r="O343" i="59"/>
  <c r="Q343" i="59" s="1"/>
  <c r="K343" i="59"/>
  <c r="M343" i="59" s="1"/>
  <c r="O339" i="59"/>
  <c r="Q339" i="59" s="1"/>
  <c r="K339" i="59"/>
  <c r="M339" i="59" s="1"/>
  <c r="P341" i="59"/>
  <c r="R341" i="59" s="1"/>
  <c r="L341" i="59"/>
  <c r="N341" i="59" s="1"/>
  <c r="K340" i="59"/>
  <c r="M340" i="59" s="1"/>
  <c r="O340" i="59"/>
  <c r="Q340" i="59" s="1"/>
  <c r="P342" i="59"/>
  <c r="R342" i="59" s="1"/>
  <c r="L342" i="59"/>
  <c r="N342" i="59" s="1"/>
  <c r="P339" i="59"/>
  <c r="R339" i="59" s="1"/>
  <c r="L339" i="59"/>
  <c r="N339" i="59" s="1"/>
  <c r="P329" i="59"/>
  <c r="R329" i="59" s="1"/>
  <c r="L329" i="59"/>
  <c r="N329" i="59" s="1"/>
  <c r="P327" i="59"/>
  <c r="R327" i="59" s="1"/>
  <c r="L327" i="59"/>
  <c r="N327" i="59" s="1"/>
  <c r="P340" i="59"/>
  <c r="R340" i="59" s="1"/>
  <c r="L340" i="59"/>
  <c r="N340" i="59" s="1"/>
  <c r="P326" i="59"/>
  <c r="R326" i="59" s="1"/>
  <c r="L326" i="59"/>
  <c r="N326" i="59" s="1"/>
  <c r="P328" i="59"/>
  <c r="R328" i="59" s="1"/>
  <c r="L328" i="59"/>
  <c r="N328" i="59" s="1"/>
  <c r="O341" i="59"/>
  <c r="Q341" i="59" s="1"/>
  <c r="K341" i="59"/>
  <c r="M341" i="59" s="1"/>
  <c r="P343" i="59"/>
  <c r="R343" i="59" s="1"/>
  <c r="L343" i="59"/>
  <c r="N343" i="59" s="1"/>
  <c r="H282" i="59"/>
  <c r="H283" i="59"/>
  <c r="H285" i="59"/>
  <c r="H281" i="59"/>
  <c r="H284" i="59"/>
  <c r="S371" i="59"/>
  <c r="U371" i="59" s="1"/>
  <c r="S372" i="59"/>
  <c r="U372" i="59" s="1"/>
  <c r="S369" i="59"/>
  <c r="U369" i="59" s="1"/>
  <c r="T372" i="59"/>
  <c r="V372" i="59" s="1"/>
  <c r="T369" i="59"/>
  <c r="V369" i="59" s="1"/>
  <c r="S368" i="59"/>
  <c r="U368" i="59" s="1"/>
  <c r="T370" i="59"/>
  <c r="V370" i="59" s="1"/>
  <c r="T371" i="59"/>
  <c r="V371" i="59" s="1"/>
  <c r="D361" i="59"/>
  <c r="D274" i="59"/>
  <c r="U274" i="59" s="1"/>
  <c r="L505" i="59" s="1"/>
  <c r="D360" i="59"/>
  <c r="D273" i="59"/>
  <c r="U273" i="59" s="1"/>
  <c r="L504" i="59" s="1"/>
  <c r="D356" i="59"/>
  <c r="D269" i="59"/>
  <c r="U269" i="59" s="1"/>
  <c r="L500" i="59" s="1"/>
  <c r="E363" i="59"/>
  <c r="E276" i="59"/>
  <c r="E362" i="59"/>
  <c r="E275" i="59"/>
  <c r="D355" i="59"/>
  <c r="D268" i="59"/>
  <c r="D359" i="59"/>
  <c r="D272" i="59"/>
  <c r="U272" i="59" s="1"/>
  <c r="L503" i="59" s="1"/>
  <c r="D363" i="59"/>
  <c r="D276" i="59"/>
  <c r="D367" i="59"/>
  <c r="D280" i="59"/>
  <c r="D362" i="59"/>
  <c r="D275" i="59"/>
  <c r="D366" i="59"/>
  <c r="D279" i="59"/>
  <c r="T368" i="59"/>
  <c r="V368" i="59" s="1"/>
  <c r="S370" i="59"/>
  <c r="U370" i="59" s="1"/>
  <c r="D357" i="59"/>
  <c r="D270" i="59"/>
  <c r="U270" i="59" s="1"/>
  <c r="L501" i="59" s="1"/>
  <c r="D365" i="59"/>
  <c r="D278" i="59"/>
  <c r="D364" i="59"/>
  <c r="D277" i="59"/>
  <c r="E359" i="59"/>
  <c r="E272" i="59"/>
  <c r="E367" i="59"/>
  <c r="E280" i="59"/>
  <c r="V280" i="59" s="1"/>
  <c r="M511" i="59" s="1"/>
  <c r="E366" i="59"/>
  <c r="E279" i="59"/>
  <c r="V279" i="59" s="1"/>
  <c r="M510" i="59" s="1"/>
  <c r="D354" i="59"/>
  <c r="D267" i="59"/>
  <c r="D358" i="59"/>
  <c r="D271" i="59"/>
  <c r="U271" i="59" s="1"/>
  <c r="L502" i="59" s="1"/>
  <c r="E361" i="59"/>
  <c r="E274" i="59"/>
  <c r="E365" i="59"/>
  <c r="E278" i="59"/>
  <c r="E360" i="59"/>
  <c r="E273" i="59"/>
  <c r="E364" i="59"/>
  <c r="E277" i="59"/>
  <c r="I68" i="59"/>
  <c r="T328" i="59"/>
  <c r="V328" i="59" s="1"/>
  <c r="T329" i="59"/>
  <c r="V329" i="59" s="1"/>
  <c r="T342" i="59"/>
  <c r="V342" i="59" s="1"/>
  <c r="T326" i="59"/>
  <c r="V326" i="59" s="1"/>
  <c r="T325" i="59"/>
  <c r="V325" i="59" s="1"/>
  <c r="T327" i="59"/>
  <c r="V327" i="59" s="1"/>
  <c r="S340" i="59"/>
  <c r="U340" i="59" s="1"/>
  <c r="T340" i="59"/>
  <c r="V340" i="59" s="1"/>
  <c r="T341" i="59"/>
  <c r="V341" i="59" s="1"/>
  <c r="T339" i="59"/>
  <c r="V339" i="59" s="1"/>
  <c r="S342" i="59"/>
  <c r="U342" i="59" s="1"/>
  <c r="S341" i="59"/>
  <c r="U341" i="59" s="1"/>
  <c r="S343" i="59"/>
  <c r="U343" i="59" s="1"/>
  <c r="T343" i="59"/>
  <c r="V343" i="59" s="1"/>
  <c r="S339" i="59"/>
  <c r="U339" i="59" s="1"/>
  <c r="E68" i="59"/>
  <c r="G68" i="59"/>
  <c r="H68" i="59"/>
  <c r="F68" i="59"/>
  <c r="T356" i="59"/>
  <c r="V356" i="59" s="1"/>
  <c r="T354" i="59"/>
  <c r="V354" i="59" s="1"/>
  <c r="T358" i="59"/>
  <c r="V358" i="59" s="1"/>
  <c r="T357" i="59"/>
  <c r="V357" i="59" s="1"/>
  <c r="T355" i="59"/>
  <c r="V355" i="59" s="1"/>
  <c r="D325" i="59"/>
  <c r="E332" i="59"/>
  <c r="E331" i="59"/>
  <c r="E335" i="59"/>
  <c r="D328" i="59"/>
  <c r="D332" i="59"/>
  <c r="D336" i="59"/>
  <c r="D331" i="59"/>
  <c r="D335" i="59"/>
  <c r="D329" i="59"/>
  <c r="E336" i="59"/>
  <c r="D327" i="59"/>
  <c r="E330" i="59"/>
  <c r="E334" i="59"/>
  <c r="E338" i="59"/>
  <c r="E333" i="59"/>
  <c r="E337" i="59"/>
  <c r="D326" i="59"/>
  <c r="D330" i="59"/>
  <c r="D334" i="59"/>
  <c r="D338" i="59"/>
  <c r="D333" i="59"/>
  <c r="D337" i="59"/>
  <c r="B384" i="59"/>
  <c r="B324" i="59"/>
  <c r="N572" i="59" l="1"/>
  <c r="J540" i="59"/>
  <c r="L540" i="59" s="1"/>
  <c r="F540" i="59"/>
  <c r="H540" i="59" s="1"/>
  <c r="J533" i="59"/>
  <c r="L533" i="59" s="1"/>
  <c r="F533" i="59"/>
  <c r="H533" i="59" s="1"/>
  <c r="K539" i="59"/>
  <c r="M539" i="59" s="1"/>
  <c r="G539" i="59"/>
  <c r="I539" i="59" s="1"/>
  <c r="C539" i="59"/>
  <c r="E539" i="59" s="1"/>
  <c r="J539" i="59"/>
  <c r="L539" i="59" s="1"/>
  <c r="F539" i="59"/>
  <c r="H539" i="59" s="1"/>
  <c r="G534" i="59"/>
  <c r="I534" i="59" s="1"/>
  <c r="C534" i="59"/>
  <c r="E534" i="59" s="1"/>
  <c r="K534" i="59"/>
  <c r="M534" i="59" s="1"/>
  <c r="J541" i="59"/>
  <c r="L541" i="59" s="1"/>
  <c r="F541" i="59"/>
  <c r="H541" i="59" s="1"/>
  <c r="G540" i="59"/>
  <c r="I540" i="59" s="1"/>
  <c r="C540" i="59"/>
  <c r="E540" i="59" s="1"/>
  <c r="K540" i="59"/>
  <c r="M540" i="59" s="1"/>
  <c r="K533" i="59"/>
  <c r="M533" i="59" s="1"/>
  <c r="G533" i="59"/>
  <c r="I533" i="59" s="1"/>
  <c r="C533" i="59"/>
  <c r="E533" i="59" s="1"/>
  <c r="J538" i="59"/>
  <c r="L538" i="59" s="1"/>
  <c r="F538" i="59"/>
  <c r="H538" i="59" s="1"/>
  <c r="J531" i="59"/>
  <c r="L531" i="59" s="1"/>
  <c r="F531" i="59"/>
  <c r="H531" i="59" s="1"/>
  <c r="J528" i="59"/>
  <c r="L528" i="59" s="1"/>
  <c r="F528" i="59"/>
  <c r="H528" i="59" s="1"/>
  <c r="N571" i="59"/>
  <c r="N542" i="59"/>
  <c r="F537" i="59"/>
  <c r="H537" i="59" s="1"/>
  <c r="J537" i="59"/>
  <c r="L537" i="59" s="1"/>
  <c r="K536" i="59"/>
  <c r="M536" i="59" s="1"/>
  <c r="G536" i="59"/>
  <c r="I536" i="59" s="1"/>
  <c r="C536" i="59"/>
  <c r="E536" i="59" s="1"/>
  <c r="J530" i="59"/>
  <c r="L530" i="59" s="1"/>
  <c r="F530" i="59"/>
  <c r="H530" i="59" s="1"/>
  <c r="J534" i="59"/>
  <c r="L534" i="59" s="1"/>
  <c r="F534" i="59"/>
  <c r="H534" i="59" s="1"/>
  <c r="K538" i="59"/>
  <c r="M538" i="59" s="1"/>
  <c r="G538" i="59"/>
  <c r="I538" i="59" s="1"/>
  <c r="C538" i="59"/>
  <c r="E538" i="59" s="1"/>
  <c r="K560" i="59"/>
  <c r="M560" i="59" s="1"/>
  <c r="G560" i="59"/>
  <c r="I560" i="59" s="1"/>
  <c r="C560" i="59"/>
  <c r="E560" i="59" s="1"/>
  <c r="K561" i="59"/>
  <c r="M561" i="59" s="1"/>
  <c r="G561" i="59"/>
  <c r="I561" i="59" s="1"/>
  <c r="C561" i="59"/>
  <c r="E561" i="59" s="1"/>
  <c r="J554" i="59"/>
  <c r="L554" i="59" s="1"/>
  <c r="F554" i="59"/>
  <c r="H554" i="59" s="1"/>
  <c r="B528" i="59"/>
  <c r="D528" i="59" s="1"/>
  <c r="K354" i="59"/>
  <c r="M354" i="59" s="1"/>
  <c r="B554" i="59"/>
  <c r="D554" i="59" s="1"/>
  <c r="K567" i="59"/>
  <c r="M567" i="59" s="1"/>
  <c r="G567" i="59"/>
  <c r="I567" i="59" s="1"/>
  <c r="C567" i="59"/>
  <c r="E567" i="59" s="1"/>
  <c r="J564" i="59"/>
  <c r="L564" i="59" s="1"/>
  <c r="F564" i="59"/>
  <c r="H564" i="59" s="1"/>
  <c r="B538" i="59"/>
  <c r="D538" i="59" s="1"/>
  <c r="B564" i="59"/>
  <c r="D564" i="59" s="1"/>
  <c r="J557" i="59"/>
  <c r="L557" i="59" s="1"/>
  <c r="F557" i="59"/>
  <c r="H557" i="59" s="1"/>
  <c r="B557" i="59"/>
  <c r="D557" i="59" s="1"/>
  <c r="B531" i="59"/>
  <c r="D531" i="59" s="1"/>
  <c r="J566" i="59"/>
  <c r="L566" i="59" s="1"/>
  <c r="F566" i="59"/>
  <c r="H566" i="59" s="1"/>
  <c r="B540" i="59"/>
  <c r="D540" i="59" s="1"/>
  <c r="B566" i="59"/>
  <c r="D566" i="59" s="1"/>
  <c r="J567" i="59"/>
  <c r="L567" i="59" s="1"/>
  <c r="F567" i="59"/>
  <c r="H567" i="59" s="1"/>
  <c r="B567" i="59"/>
  <c r="D567" i="59" s="1"/>
  <c r="B541" i="59"/>
  <c r="D541" i="59" s="1"/>
  <c r="J559" i="59"/>
  <c r="L559" i="59" s="1"/>
  <c r="F559" i="59"/>
  <c r="H559" i="59" s="1"/>
  <c r="B559" i="59"/>
  <c r="D559" i="59" s="1"/>
  <c r="B533" i="59"/>
  <c r="D533" i="59" s="1"/>
  <c r="K562" i="59"/>
  <c r="M562" i="59" s="1"/>
  <c r="G562" i="59"/>
  <c r="I562" i="59" s="1"/>
  <c r="C562" i="59"/>
  <c r="E562" i="59" s="1"/>
  <c r="J556" i="59"/>
  <c r="L556" i="59" s="1"/>
  <c r="F556" i="59"/>
  <c r="H556" i="59" s="1"/>
  <c r="B530" i="59"/>
  <c r="D530" i="59" s="1"/>
  <c r="B556" i="59"/>
  <c r="D556" i="59" s="1"/>
  <c r="J561" i="59"/>
  <c r="L561" i="59" s="1"/>
  <c r="F561" i="59"/>
  <c r="H561" i="59" s="1"/>
  <c r="B561" i="59"/>
  <c r="D561" i="59" s="1"/>
  <c r="B535" i="59"/>
  <c r="D535" i="59" s="1"/>
  <c r="N543" i="59"/>
  <c r="K541" i="59"/>
  <c r="M541" i="59" s="1"/>
  <c r="G541" i="59"/>
  <c r="I541" i="59" s="1"/>
  <c r="C541" i="59"/>
  <c r="E541" i="59" s="1"/>
  <c r="N570" i="59"/>
  <c r="N569" i="59"/>
  <c r="J536" i="59"/>
  <c r="L536" i="59" s="1"/>
  <c r="F536" i="59"/>
  <c r="H536" i="59" s="1"/>
  <c r="F529" i="59"/>
  <c r="H529" i="59" s="1"/>
  <c r="J529" i="59"/>
  <c r="L529" i="59" s="1"/>
  <c r="K537" i="59"/>
  <c r="M537" i="59" s="1"/>
  <c r="G537" i="59"/>
  <c r="I537" i="59" s="1"/>
  <c r="C537" i="59"/>
  <c r="E537" i="59" s="1"/>
  <c r="J532" i="59"/>
  <c r="L532" i="59" s="1"/>
  <c r="F532" i="59"/>
  <c r="H532" i="59" s="1"/>
  <c r="F535" i="59"/>
  <c r="H535" i="59" s="1"/>
  <c r="J535" i="59"/>
  <c r="L535" i="59" s="1"/>
  <c r="K535" i="59"/>
  <c r="M535" i="59" s="1"/>
  <c r="G535" i="59"/>
  <c r="I535" i="59" s="1"/>
  <c r="C535" i="59"/>
  <c r="E535" i="59" s="1"/>
  <c r="K564" i="59"/>
  <c r="M564" i="59" s="1"/>
  <c r="G564" i="59"/>
  <c r="I564" i="59" s="1"/>
  <c r="C564" i="59"/>
  <c r="E564" i="59" s="1"/>
  <c r="K565" i="59"/>
  <c r="M565" i="59" s="1"/>
  <c r="G565" i="59"/>
  <c r="I565" i="59" s="1"/>
  <c r="C565" i="59"/>
  <c r="E565" i="59" s="1"/>
  <c r="J558" i="59"/>
  <c r="L558" i="59" s="1"/>
  <c r="F558" i="59"/>
  <c r="H558" i="59" s="1"/>
  <c r="B532" i="59"/>
  <c r="D532" i="59" s="1"/>
  <c r="B558" i="59"/>
  <c r="D558" i="59" s="1"/>
  <c r="K566" i="59"/>
  <c r="M566" i="59" s="1"/>
  <c r="G566" i="59"/>
  <c r="I566" i="59" s="1"/>
  <c r="C566" i="59"/>
  <c r="E566" i="59" s="1"/>
  <c r="K559" i="59"/>
  <c r="M559" i="59" s="1"/>
  <c r="G559" i="59"/>
  <c r="I559" i="59" s="1"/>
  <c r="C559" i="59"/>
  <c r="E559" i="59" s="1"/>
  <c r="J565" i="59"/>
  <c r="L565" i="59" s="1"/>
  <c r="F565" i="59"/>
  <c r="H565" i="59" s="1"/>
  <c r="B565" i="59"/>
  <c r="D565" i="59" s="1"/>
  <c r="B539" i="59"/>
  <c r="D539" i="59" s="1"/>
  <c r="J562" i="59"/>
  <c r="L562" i="59" s="1"/>
  <c r="F562" i="59"/>
  <c r="H562" i="59" s="1"/>
  <c r="B536" i="59"/>
  <c r="D536" i="59" s="1"/>
  <c r="B562" i="59"/>
  <c r="D562" i="59" s="1"/>
  <c r="J563" i="59"/>
  <c r="L563" i="59" s="1"/>
  <c r="F563" i="59"/>
  <c r="H563" i="59" s="1"/>
  <c r="B563" i="59"/>
  <c r="D563" i="59" s="1"/>
  <c r="B537" i="59"/>
  <c r="D537" i="59" s="1"/>
  <c r="J555" i="59"/>
  <c r="L555" i="59" s="1"/>
  <c r="F555" i="59"/>
  <c r="H555" i="59" s="1"/>
  <c r="B555" i="59"/>
  <c r="D555" i="59" s="1"/>
  <c r="B529" i="59"/>
  <c r="D529" i="59" s="1"/>
  <c r="K563" i="59"/>
  <c r="M563" i="59" s="1"/>
  <c r="G563" i="59"/>
  <c r="I563" i="59" s="1"/>
  <c r="C563" i="59"/>
  <c r="E563" i="59" s="1"/>
  <c r="J560" i="59"/>
  <c r="L560" i="59" s="1"/>
  <c r="F560" i="59"/>
  <c r="H560" i="59" s="1"/>
  <c r="B534" i="59"/>
  <c r="D534" i="59" s="1"/>
  <c r="B560" i="59"/>
  <c r="D560" i="59" s="1"/>
  <c r="N545" i="59"/>
  <c r="N568" i="59"/>
  <c r="N546" i="59"/>
  <c r="N544" i="59"/>
  <c r="O267" i="59"/>
  <c r="F498" i="59" s="1"/>
  <c r="O268" i="59"/>
  <c r="F499" i="59" s="1"/>
  <c r="P273" i="59"/>
  <c r="G504" i="59" s="1"/>
  <c r="P274" i="59"/>
  <c r="G505" i="59" s="1"/>
  <c r="P280" i="59"/>
  <c r="G511" i="59" s="1"/>
  <c r="O277" i="59"/>
  <c r="F508" i="59" s="1"/>
  <c r="O270" i="59"/>
  <c r="F501" i="59" s="1"/>
  <c r="O279" i="59"/>
  <c r="F510" i="59" s="1"/>
  <c r="O280" i="59"/>
  <c r="F511" i="59" s="1"/>
  <c r="O272" i="59"/>
  <c r="F503" i="59" s="1"/>
  <c r="P275" i="59"/>
  <c r="G506" i="59" s="1"/>
  <c r="O269" i="59"/>
  <c r="F500" i="59" s="1"/>
  <c r="O274" i="59"/>
  <c r="F505" i="59" s="1"/>
  <c r="P277" i="59"/>
  <c r="G508" i="59" s="1"/>
  <c r="P278" i="59"/>
  <c r="G509" i="59" s="1"/>
  <c r="O271" i="59"/>
  <c r="F502" i="59" s="1"/>
  <c r="P279" i="59"/>
  <c r="G510" i="59" s="1"/>
  <c r="P272" i="59"/>
  <c r="G503" i="59" s="1"/>
  <c r="O278" i="59"/>
  <c r="F509" i="59" s="1"/>
  <c r="O275" i="59"/>
  <c r="F506" i="59" s="1"/>
  <c r="P276" i="59"/>
  <c r="G507" i="59" s="1"/>
  <c r="O273" i="59"/>
  <c r="F504" i="59" s="1"/>
  <c r="P360" i="59"/>
  <c r="R360" i="59" s="1"/>
  <c r="L360" i="59"/>
  <c r="N360" i="59" s="1"/>
  <c r="K364" i="59"/>
  <c r="M364" i="59" s="1"/>
  <c r="O364" i="59"/>
  <c r="Q364" i="59" s="1"/>
  <c r="K366" i="59"/>
  <c r="M366" i="59" s="1"/>
  <c r="O366" i="59"/>
  <c r="Q366" i="59" s="1"/>
  <c r="O359" i="59"/>
  <c r="Q359" i="59" s="1"/>
  <c r="K359" i="59"/>
  <c r="M359" i="59" s="1"/>
  <c r="K361" i="59"/>
  <c r="M361" i="59" s="1"/>
  <c r="O361" i="59"/>
  <c r="Q361" i="59" s="1"/>
  <c r="P361" i="59"/>
  <c r="R361" i="59" s="1"/>
  <c r="L361" i="59"/>
  <c r="N361" i="59" s="1"/>
  <c r="O354" i="59"/>
  <c r="Q354" i="59" s="1"/>
  <c r="L367" i="59"/>
  <c r="N367" i="59" s="1"/>
  <c r="P367" i="59"/>
  <c r="R367" i="59" s="1"/>
  <c r="K357" i="59"/>
  <c r="M357" i="59" s="1"/>
  <c r="O357" i="59"/>
  <c r="Q357" i="59" s="1"/>
  <c r="O367" i="59"/>
  <c r="Q367" i="59" s="1"/>
  <c r="K367" i="59"/>
  <c r="M367" i="59" s="1"/>
  <c r="P362" i="59"/>
  <c r="R362" i="59" s="1"/>
  <c r="L362" i="59"/>
  <c r="N362" i="59" s="1"/>
  <c r="K356" i="59"/>
  <c r="M356" i="59" s="1"/>
  <c r="O356" i="59"/>
  <c r="Q356" i="59" s="1"/>
  <c r="P364" i="59"/>
  <c r="R364" i="59" s="1"/>
  <c r="L364" i="59"/>
  <c r="N364" i="59" s="1"/>
  <c r="P365" i="59"/>
  <c r="R365" i="59" s="1"/>
  <c r="L365" i="59"/>
  <c r="N365" i="59" s="1"/>
  <c r="K358" i="59"/>
  <c r="M358" i="59" s="1"/>
  <c r="O358" i="59"/>
  <c r="Q358" i="59" s="1"/>
  <c r="P366" i="59"/>
  <c r="R366" i="59" s="1"/>
  <c r="L366" i="59"/>
  <c r="N366" i="59" s="1"/>
  <c r="L359" i="59"/>
  <c r="N359" i="59" s="1"/>
  <c r="P359" i="59"/>
  <c r="R359" i="59" s="1"/>
  <c r="K365" i="59"/>
  <c r="M365" i="59" s="1"/>
  <c r="O365" i="59"/>
  <c r="Q365" i="59" s="1"/>
  <c r="K362" i="59"/>
  <c r="M362" i="59" s="1"/>
  <c r="O362" i="59"/>
  <c r="Q362" i="59" s="1"/>
  <c r="O363" i="59"/>
  <c r="Q363" i="59" s="1"/>
  <c r="K363" i="59"/>
  <c r="M363" i="59" s="1"/>
  <c r="O355" i="59"/>
  <c r="Q355" i="59" s="1"/>
  <c r="K355" i="59"/>
  <c r="M355" i="59" s="1"/>
  <c r="L363" i="59"/>
  <c r="N363" i="59" s="1"/>
  <c r="P363" i="59"/>
  <c r="R363" i="59" s="1"/>
  <c r="K360" i="59"/>
  <c r="M360" i="59" s="1"/>
  <c r="O360" i="59"/>
  <c r="Q360" i="59" s="1"/>
  <c r="O327" i="59"/>
  <c r="Q327" i="59" s="1"/>
  <c r="K327" i="59"/>
  <c r="M327" i="59" s="1"/>
  <c r="K338" i="59"/>
  <c r="M338" i="59" s="1"/>
  <c r="O338" i="59"/>
  <c r="Q338" i="59" s="1"/>
  <c r="O335" i="59"/>
  <c r="Q335" i="59" s="1"/>
  <c r="K335" i="59"/>
  <c r="M335" i="59" s="1"/>
  <c r="K328" i="59"/>
  <c r="M328" i="59" s="1"/>
  <c r="O328" i="59"/>
  <c r="Q328" i="59" s="1"/>
  <c r="O325" i="59"/>
  <c r="Q325" i="59" s="1"/>
  <c r="K325" i="59"/>
  <c r="M325" i="59" s="1"/>
  <c r="O334" i="59"/>
  <c r="Q334" i="59" s="1"/>
  <c r="K334" i="59"/>
  <c r="M334" i="59" s="1"/>
  <c r="P335" i="59"/>
  <c r="R335" i="59" s="1"/>
  <c r="L335" i="59"/>
  <c r="N335" i="59" s="1"/>
  <c r="P337" i="59"/>
  <c r="R337" i="59" s="1"/>
  <c r="L337" i="59"/>
  <c r="N337" i="59" s="1"/>
  <c r="L330" i="59"/>
  <c r="N330" i="59" s="1"/>
  <c r="P330" i="59"/>
  <c r="R330" i="59" s="1"/>
  <c r="O333" i="59"/>
  <c r="Q333" i="59" s="1"/>
  <c r="K333" i="59"/>
  <c r="M333" i="59" s="1"/>
  <c r="K326" i="59"/>
  <c r="M326" i="59" s="1"/>
  <c r="O326" i="59"/>
  <c r="Q326" i="59" s="1"/>
  <c r="P334" i="59"/>
  <c r="R334" i="59" s="1"/>
  <c r="L334" i="59"/>
  <c r="N334" i="59" s="1"/>
  <c r="K329" i="59"/>
  <c r="M329" i="59" s="1"/>
  <c r="O329" i="59"/>
  <c r="Q329" i="59" s="1"/>
  <c r="K332" i="59"/>
  <c r="M332" i="59" s="1"/>
  <c r="O332" i="59"/>
  <c r="Q332" i="59" s="1"/>
  <c r="P332" i="59"/>
  <c r="R332" i="59" s="1"/>
  <c r="L332" i="59"/>
  <c r="N332" i="59" s="1"/>
  <c r="P333" i="59"/>
  <c r="R333" i="59" s="1"/>
  <c r="L333" i="59"/>
  <c r="N333" i="59" s="1"/>
  <c r="O331" i="59"/>
  <c r="Q331" i="59" s="1"/>
  <c r="K331" i="59"/>
  <c r="M331" i="59" s="1"/>
  <c r="K337" i="59"/>
  <c r="M337" i="59" s="1"/>
  <c r="O337" i="59"/>
  <c r="Q337" i="59" s="1"/>
  <c r="O330" i="59"/>
  <c r="Q330" i="59" s="1"/>
  <c r="K330" i="59"/>
  <c r="M330" i="59" s="1"/>
  <c r="L338" i="59"/>
  <c r="N338" i="59" s="1"/>
  <c r="P338" i="59"/>
  <c r="R338" i="59" s="1"/>
  <c r="P336" i="59"/>
  <c r="R336" i="59" s="1"/>
  <c r="L336" i="59"/>
  <c r="N336" i="59" s="1"/>
  <c r="K336" i="59"/>
  <c r="M336" i="59" s="1"/>
  <c r="O336" i="59"/>
  <c r="Q336" i="59" s="1"/>
  <c r="P331" i="59"/>
  <c r="R331" i="59" s="1"/>
  <c r="L331" i="59"/>
  <c r="N331" i="59" s="1"/>
  <c r="H271" i="59"/>
  <c r="H278" i="59"/>
  <c r="H276" i="59"/>
  <c r="H273" i="59"/>
  <c r="H275" i="59"/>
  <c r="H268" i="59"/>
  <c r="H267" i="59"/>
  <c r="H277" i="59"/>
  <c r="H270" i="59"/>
  <c r="H279" i="59"/>
  <c r="H280" i="59"/>
  <c r="H272" i="59"/>
  <c r="H269" i="59"/>
  <c r="H274" i="59"/>
  <c r="T362" i="59"/>
  <c r="V362" i="59" s="1"/>
  <c r="T361" i="59"/>
  <c r="V361" i="59" s="1"/>
  <c r="T359" i="59"/>
  <c r="V359" i="59" s="1"/>
  <c r="S362" i="59"/>
  <c r="U362" i="59" s="1"/>
  <c r="T365" i="59"/>
  <c r="V365" i="59" s="1"/>
  <c r="T366" i="59"/>
  <c r="V366" i="59" s="1"/>
  <c r="S358" i="59"/>
  <c r="U358" i="59" s="1"/>
  <c r="S365" i="59"/>
  <c r="U365" i="59" s="1"/>
  <c r="T363" i="59"/>
  <c r="V363" i="59" s="1"/>
  <c r="T364" i="59"/>
  <c r="V364" i="59" s="1"/>
  <c r="S363" i="59"/>
  <c r="U363" i="59" s="1"/>
  <c r="S360" i="59"/>
  <c r="U360" i="59" s="1"/>
  <c r="S355" i="59"/>
  <c r="U355" i="59" s="1"/>
  <c r="T360" i="59"/>
  <c r="V360" i="59" s="1"/>
  <c r="S367" i="59"/>
  <c r="U367" i="59" s="1"/>
  <c r="S364" i="59"/>
  <c r="U364" i="59" s="1"/>
  <c r="S357" i="59"/>
  <c r="U357" i="59" s="1"/>
  <c r="S366" i="59"/>
  <c r="U366" i="59" s="1"/>
  <c r="S359" i="59"/>
  <c r="U359" i="59" s="1"/>
  <c r="S354" i="59"/>
  <c r="U354" i="59" s="1"/>
  <c r="S356" i="59"/>
  <c r="U356" i="59" s="1"/>
  <c r="S361" i="59"/>
  <c r="U361" i="59" s="1"/>
  <c r="T367" i="59"/>
  <c r="V367" i="59" s="1"/>
  <c r="S337" i="59"/>
  <c r="U337" i="59" s="1"/>
  <c r="T337" i="59"/>
  <c r="V337" i="59" s="1"/>
  <c r="T330" i="59"/>
  <c r="V330" i="59" s="1"/>
  <c r="S336" i="59"/>
  <c r="U336" i="59" s="1"/>
  <c r="T331" i="59"/>
  <c r="V331" i="59" s="1"/>
  <c r="S325" i="59"/>
  <c r="U325" i="59" s="1"/>
  <c r="S338" i="59"/>
  <c r="U338" i="59" s="1"/>
  <c r="S330" i="59"/>
  <c r="U330" i="59" s="1"/>
  <c r="T338" i="59"/>
  <c r="V338" i="59" s="1"/>
  <c r="T336" i="59"/>
  <c r="V336" i="59" s="1"/>
  <c r="S335" i="59"/>
  <c r="U335" i="59" s="1"/>
  <c r="S328" i="59"/>
  <c r="U328" i="59" s="1"/>
  <c r="S333" i="59"/>
  <c r="U333" i="59" s="1"/>
  <c r="S334" i="59"/>
  <c r="U334" i="59" s="1"/>
  <c r="S326" i="59"/>
  <c r="U326" i="59" s="1"/>
  <c r="T333" i="59"/>
  <c r="V333" i="59" s="1"/>
  <c r="T334" i="59"/>
  <c r="V334" i="59" s="1"/>
  <c r="S327" i="59"/>
  <c r="U327" i="59" s="1"/>
  <c r="S329" i="59"/>
  <c r="U329" i="59" s="1"/>
  <c r="S331" i="59"/>
  <c r="U331" i="59" s="1"/>
  <c r="S332" i="59"/>
  <c r="U332" i="59" s="1"/>
  <c r="T335" i="59"/>
  <c r="V335" i="59" s="1"/>
  <c r="T332" i="59"/>
  <c r="V332" i="59" s="1"/>
  <c r="N532" i="59" l="1"/>
  <c r="N533" i="59"/>
  <c r="N531" i="59"/>
  <c r="N536" i="59"/>
  <c r="N530" i="59"/>
  <c r="N560" i="59"/>
  <c r="N555" i="59"/>
  <c r="N563" i="59"/>
  <c r="N565" i="59"/>
  <c r="N561" i="59"/>
  <c r="N534" i="59"/>
  <c r="N558" i="59"/>
  <c r="N554" i="59"/>
  <c r="N541" i="59"/>
  <c r="N566" i="59"/>
  <c r="N564" i="59"/>
  <c r="N529" i="59"/>
  <c r="N537" i="59"/>
  <c r="N562" i="59"/>
  <c r="N539" i="59"/>
  <c r="N535" i="59"/>
  <c r="N556" i="59"/>
  <c r="N559" i="59"/>
  <c r="N567" i="59"/>
  <c r="N540" i="59"/>
  <c r="N557" i="59"/>
  <c r="N538" i="59"/>
  <c r="N528" i="59"/>
  <c r="G266" i="59"/>
  <c r="B266" i="59"/>
  <c r="B238" i="59"/>
  <c r="H221" i="59"/>
  <c r="H222" i="59"/>
  <c r="H223" i="59"/>
  <c r="H224" i="59"/>
  <c r="C221" i="59"/>
  <c r="D221" i="59"/>
  <c r="C222" i="59"/>
  <c r="D222" i="59"/>
  <c r="C223" i="59"/>
  <c r="D223" i="59"/>
  <c r="C224" i="59"/>
  <c r="D224" i="59"/>
  <c r="D220" i="59"/>
  <c r="C220" i="59"/>
  <c r="B230" i="59" l="1"/>
  <c r="C230" i="59"/>
  <c r="F230" i="59"/>
  <c r="G230" i="59"/>
  <c r="B231" i="59"/>
  <c r="C231" i="59"/>
  <c r="F231" i="59"/>
  <c r="G231" i="59"/>
  <c r="B232" i="59"/>
  <c r="C232" i="59"/>
  <c r="F232" i="59"/>
  <c r="G232" i="59"/>
  <c r="B233" i="59"/>
  <c r="C233" i="59"/>
  <c r="F233" i="59"/>
  <c r="G233" i="59"/>
  <c r="B234" i="59"/>
  <c r="C234" i="59"/>
  <c r="F234" i="59"/>
  <c r="G234" i="59"/>
  <c r="B235" i="59"/>
  <c r="C235" i="59"/>
  <c r="F235" i="59"/>
  <c r="G235" i="59"/>
  <c r="B236" i="59"/>
  <c r="C236" i="59"/>
  <c r="F236" i="59"/>
  <c r="G236" i="59"/>
  <c r="B237" i="59"/>
  <c r="C237" i="59"/>
  <c r="F237" i="59"/>
  <c r="G237" i="59"/>
  <c r="C238" i="59"/>
  <c r="F238" i="59"/>
  <c r="G238" i="59"/>
  <c r="F229" i="59"/>
  <c r="H229" i="59" s="1"/>
  <c r="G229" i="59"/>
  <c r="C332" i="58"/>
  <c r="D332" i="58" s="1"/>
  <c r="I229" i="59" l="1"/>
  <c r="J237" i="59"/>
  <c r="K235" i="59"/>
  <c r="K234" i="59"/>
  <c r="J238" i="59"/>
  <c r="J236" i="59"/>
  <c r="H235" i="59"/>
  <c r="I235" i="59"/>
  <c r="I231" i="59"/>
  <c r="H231" i="59"/>
  <c r="I234" i="59"/>
  <c r="H234" i="59"/>
  <c r="I236" i="59"/>
  <c r="H236" i="59"/>
  <c r="I232" i="59"/>
  <c r="H232" i="59"/>
  <c r="I230" i="59"/>
  <c r="H230" i="59"/>
  <c r="I238" i="59"/>
  <c r="H238" i="59"/>
  <c r="H237" i="59"/>
  <c r="I237" i="59"/>
  <c r="H233" i="59"/>
  <c r="I233" i="59"/>
  <c r="U74" i="57" l="1"/>
  <c r="T54" i="57"/>
  <c r="B49" i="59" l="1"/>
  <c r="B50" i="59"/>
  <c r="B51" i="59"/>
  <c r="B52" i="59"/>
  <c r="B53" i="59"/>
  <c r="B54" i="59"/>
  <c r="B55" i="59"/>
  <c r="B48" i="59"/>
  <c r="G30" i="59" l="1"/>
  <c r="H30" i="59"/>
  <c r="I30" i="59"/>
  <c r="C30" i="59"/>
  <c r="G75" i="59"/>
  <c r="D100" i="59" s="1"/>
  <c r="F75" i="59"/>
  <c r="F266" i="59" s="1"/>
  <c r="B75" i="59"/>
  <c r="C75" i="59"/>
  <c r="C127" i="59" l="1"/>
  <c r="F353" i="59"/>
  <c r="H353" i="59" s="1"/>
  <c r="J353" i="59" s="1"/>
  <c r="F324" i="59"/>
  <c r="H324" i="59" s="1"/>
  <c r="J324" i="59" s="1"/>
  <c r="C353" i="59"/>
  <c r="E75" i="59"/>
  <c r="E266" i="59" s="1"/>
  <c r="C100" i="59"/>
  <c r="D75" i="59"/>
  <c r="C266" i="59"/>
  <c r="C324" i="59"/>
  <c r="D353" i="59" l="1"/>
  <c r="D266" i="59"/>
  <c r="O266" i="59" s="1"/>
  <c r="F497" i="59" s="1"/>
  <c r="E353" i="59"/>
  <c r="D324" i="59"/>
  <c r="E324" i="59"/>
  <c r="D348" i="58"/>
  <c r="D340" i="58"/>
  <c r="D347" i="58"/>
  <c r="AK75" i="59"/>
  <c r="AC422" i="59" s="1"/>
  <c r="AJ75" i="59"/>
  <c r="AB422" i="59" s="1"/>
  <c r="AG75" i="59"/>
  <c r="Y422" i="59" s="1"/>
  <c r="AF75" i="59"/>
  <c r="X422" i="59" s="1"/>
  <c r="AC75" i="59"/>
  <c r="U422" i="59" s="1"/>
  <c r="AB75" i="59"/>
  <c r="T422" i="59" s="1"/>
  <c r="Y75" i="59"/>
  <c r="Q422" i="59" s="1"/>
  <c r="X75" i="59"/>
  <c r="P422" i="59" s="1"/>
  <c r="U75" i="59"/>
  <c r="M422" i="59" s="1"/>
  <c r="T75" i="59"/>
  <c r="L422" i="59" s="1"/>
  <c r="P75" i="59"/>
  <c r="H422" i="59" s="1"/>
  <c r="Q75" i="59"/>
  <c r="I422" i="59" s="1"/>
  <c r="M75" i="59"/>
  <c r="E422" i="59" s="1"/>
  <c r="L75" i="59"/>
  <c r="D422" i="59" s="1"/>
  <c r="S324" i="59" l="1"/>
  <c r="U324" i="59" s="1"/>
  <c r="O324" i="59"/>
  <c r="Q324" i="59" s="1"/>
  <c r="J527" i="59"/>
  <c r="L527" i="59" s="1"/>
  <c r="F527" i="59"/>
  <c r="H527" i="59" s="1"/>
  <c r="K553" i="59"/>
  <c r="M553" i="59" s="1"/>
  <c r="G553" i="59"/>
  <c r="I553" i="59" s="1"/>
  <c r="T353" i="59"/>
  <c r="V353" i="59" s="1"/>
  <c r="P353" i="59"/>
  <c r="R353" i="59" s="1"/>
  <c r="L353" i="59"/>
  <c r="N353" i="59" s="1"/>
  <c r="C553" i="59"/>
  <c r="E553" i="59" s="1"/>
  <c r="K527" i="59"/>
  <c r="M527" i="59" s="1"/>
  <c r="G527" i="59"/>
  <c r="I527" i="59" s="1"/>
  <c r="C527" i="59"/>
  <c r="E527" i="59" s="1"/>
  <c r="P324" i="59"/>
  <c r="R324" i="59" s="1"/>
  <c r="L324" i="59"/>
  <c r="N324" i="59" s="1"/>
  <c r="T324" i="59"/>
  <c r="V324" i="59" s="1"/>
  <c r="S353" i="59"/>
  <c r="U353" i="59" s="1"/>
  <c r="O353" i="59"/>
  <c r="Q353" i="59" s="1"/>
  <c r="J553" i="59"/>
  <c r="L553" i="59" s="1"/>
  <c r="F553" i="59"/>
  <c r="H553" i="59" s="1"/>
  <c r="B553" i="59"/>
  <c r="D553" i="59" s="1"/>
  <c r="K353" i="59"/>
  <c r="M353" i="59" s="1"/>
  <c r="B527" i="59"/>
  <c r="D527" i="59" s="1"/>
  <c r="F100" i="59"/>
  <c r="H100" i="59" s="1"/>
  <c r="F109" i="59"/>
  <c r="H109" i="59" s="1"/>
  <c r="F115" i="59"/>
  <c r="H115" i="59" s="1"/>
  <c r="F113" i="59"/>
  <c r="H113" i="59" s="1"/>
  <c r="F102" i="59"/>
  <c r="H102" i="59" s="1"/>
  <c r="F110" i="59"/>
  <c r="H110" i="59" s="1"/>
  <c r="F118" i="59"/>
  <c r="H118" i="59" s="1"/>
  <c r="F101" i="59"/>
  <c r="H101" i="59" s="1"/>
  <c r="F107" i="59"/>
  <c r="H107" i="59" s="1"/>
  <c r="F117" i="59"/>
  <c r="H117" i="59" s="1"/>
  <c r="F116" i="59"/>
  <c r="H116" i="59" s="1"/>
  <c r="F111" i="59"/>
  <c r="H111" i="59" s="1"/>
  <c r="F104" i="59"/>
  <c r="H104" i="59" s="1"/>
  <c r="F103" i="59"/>
  <c r="H103" i="59" s="1"/>
  <c r="F108" i="59"/>
  <c r="H108" i="59" s="1"/>
  <c r="F106" i="59"/>
  <c r="H106" i="59" s="1"/>
  <c r="F112" i="59"/>
  <c r="H112" i="59" s="1"/>
  <c r="F119" i="59"/>
  <c r="H119" i="59" s="1"/>
  <c r="F114" i="59"/>
  <c r="H114" i="59" s="1"/>
  <c r="F105" i="59"/>
  <c r="H105" i="59" s="1"/>
  <c r="H266" i="59"/>
  <c r="K324" i="59"/>
  <c r="M324" i="59" s="1"/>
  <c r="N527" i="59" l="1"/>
  <c r="C548" i="59" s="1"/>
  <c r="F26" i="22" s="1"/>
  <c r="N553" i="59"/>
  <c r="C574" i="59" s="1"/>
  <c r="G26" i="22" s="1"/>
  <c r="W324" i="59"/>
  <c r="X324" i="59"/>
  <c r="C21" i="59"/>
  <c r="C24" i="59" s="1"/>
  <c r="C12" i="59"/>
  <c r="C13" i="59" s="1"/>
  <c r="O499" i="59" l="1"/>
  <c r="O503" i="59"/>
  <c r="O507" i="59"/>
  <c r="O511" i="59"/>
  <c r="Q511" i="59" s="1"/>
  <c r="O515" i="59"/>
  <c r="Q515" i="59" s="1"/>
  <c r="N499" i="59"/>
  <c r="N503" i="59"/>
  <c r="P503" i="59" s="1"/>
  <c r="N507" i="59"/>
  <c r="N511" i="59"/>
  <c r="N515" i="59"/>
  <c r="O500" i="59"/>
  <c r="O504" i="59"/>
  <c r="O508" i="59"/>
  <c r="O512" i="59"/>
  <c r="Q512" i="59" s="1"/>
  <c r="O516" i="59"/>
  <c r="Q516" i="59" s="1"/>
  <c r="N500" i="59"/>
  <c r="P500" i="59" s="1"/>
  <c r="N504" i="59"/>
  <c r="P504" i="59" s="1"/>
  <c r="N508" i="59"/>
  <c r="N512" i="59"/>
  <c r="N516" i="59"/>
  <c r="O505" i="59"/>
  <c r="O513" i="59"/>
  <c r="Q513" i="59" s="1"/>
  <c r="N501" i="59"/>
  <c r="P501" i="59" s="1"/>
  <c r="N509" i="59"/>
  <c r="N497" i="59"/>
  <c r="O509" i="59"/>
  <c r="N505" i="59"/>
  <c r="P505" i="59" s="1"/>
  <c r="N513" i="59"/>
  <c r="N498" i="59"/>
  <c r="N514" i="59"/>
  <c r="O498" i="59"/>
  <c r="O506" i="59"/>
  <c r="O514" i="59"/>
  <c r="Q514" i="59" s="1"/>
  <c r="N502" i="59"/>
  <c r="P502" i="59" s="1"/>
  <c r="N510" i="59"/>
  <c r="O501" i="59"/>
  <c r="O497" i="59"/>
  <c r="O502" i="59"/>
  <c r="O510" i="59"/>
  <c r="Q510" i="59" s="1"/>
  <c r="N506" i="59"/>
  <c r="C29" i="59"/>
  <c r="C32" i="59" s="1"/>
  <c r="C35" i="59" s="1"/>
  <c r="C41" i="59" s="1"/>
  <c r="L309" i="59"/>
  <c r="O297" i="59"/>
  <c r="L311" i="59"/>
  <c r="L308" i="59"/>
  <c r="L307" i="59"/>
  <c r="L310" i="59"/>
  <c r="O299" i="59"/>
  <c r="Q266" i="59"/>
  <c r="R268" i="59"/>
  <c r="I499" i="59" s="1"/>
  <c r="R272" i="59"/>
  <c r="R276" i="59"/>
  <c r="R280" i="59"/>
  <c r="R284" i="59"/>
  <c r="Q268" i="59"/>
  <c r="Q272" i="59"/>
  <c r="Q276" i="59"/>
  <c r="Q280" i="59"/>
  <c r="Q284" i="59"/>
  <c r="O301" i="59"/>
  <c r="R274" i="59"/>
  <c r="R282" i="59"/>
  <c r="Q270" i="59"/>
  <c r="Q278" i="59"/>
  <c r="R269" i="59"/>
  <c r="R273" i="59"/>
  <c r="R281" i="59"/>
  <c r="Q273" i="59"/>
  <c r="Q281" i="59"/>
  <c r="O298" i="59"/>
  <c r="R267" i="59"/>
  <c r="I498" i="59" s="1"/>
  <c r="R271" i="59"/>
  <c r="R275" i="59"/>
  <c r="R279" i="59"/>
  <c r="R283" i="59"/>
  <c r="Q267" i="59"/>
  <c r="Q271" i="59"/>
  <c r="Q275" i="59"/>
  <c r="Q279" i="59"/>
  <c r="Q283" i="59"/>
  <c r="R270" i="59"/>
  <c r="R278" i="59"/>
  <c r="R266" i="59"/>
  <c r="I497" i="59" s="1"/>
  <c r="Q274" i="59"/>
  <c r="Q282" i="59"/>
  <c r="O300" i="59"/>
  <c r="R277" i="59"/>
  <c r="R285" i="59"/>
  <c r="Q269" i="59"/>
  <c r="Q277" i="59"/>
  <c r="Q285" i="59"/>
  <c r="Y324" i="59"/>
  <c r="N280" i="59"/>
  <c r="E511" i="59" s="1"/>
  <c r="N271" i="59"/>
  <c r="E502" i="59" s="1"/>
  <c r="N284" i="59"/>
  <c r="E515" i="59" s="1"/>
  <c r="N277" i="59"/>
  <c r="E508" i="59" s="1"/>
  <c r="N266" i="59"/>
  <c r="E497" i="59" s="1"/>
  <c r="N270" i="59"/>
  <c r="E501" i="59" s="1"/>
  <c r="N275" i="59"/>
  <c r="E506" i="59" s="1"/>
  <c r="N281" i="59"/>
  <c r="E512" i="59" s="1"/>
  <c r="N274" i="59"/>
  <c r="E505" i="59" s="1"/>
  <c r="N268" i="59"/>
  <c r="E499" i="59" s="1"/>
  <c r="N279" i="59"/>
  <c r="E510" i="59" s="1"/>
  <c r="N285" i="59"/>
  <c r="E516" i="59" s="1"/>
  <c r="N269" i="59"/>
  <c r="E500" i="59" s="1"/>
  <c r="N278" i="59"/>
  <c r="E509" i="59" s="1"/>
  <c r="N276" i="59"/>
  <c r="E507" i="59" s="1"/>
  <c r="N283" i="59"/>
  <c r="E514" i="59" s="1"/>
  <c r="N267" i="59"/>
  <c r="E498" i="59" s="1"/>
  <c r="N273" i="59"/>
  <c r="E504" i="59" s="1"/>
  <c r="N282" i="59"/>
  <c r="E513" i="59" s="1"/>
  <c r="N272" i="59"/>
  <c r="E503" i="59" s="1"/>
  <c r="I256" i="59"/>
  <c r="H490" i="59" s="1"/>
  <c r="E256" i="59"/>
  <c r="D490" i="59" s="1"/>
  <c r="F256" i="59"/>
  <c r="E490" i="59" s="1"/>
  <c r="G256" i="59"/>
  <c r="F490" i="59" s="1"/>
  <c r="H256" i="59"/>
  <c r="G490" i="59" s="1"/>
  <c r="D256" i="59"/>
  <c r="C490" i="59" s="1"/>
  <c r="G32" i="59"/>
  <c r="G35" i="59" s="1"/>
  <c r="G41" i="59" s="1"/>
  <c r="H32" i="59"/>
  <c r="H35" i="59" s="1"/>
  <c r="H41" i="59" s="1"/>
  <c r="F35" i="59"/>
  <c r="F41" i="59" s="1"/>
  <c r="D31" i="59"/>
  <c r="D32" i="59" s="1"/>
  <c r="D35" i="59" s="1"/>
  <c r="D41" i="59" s="1"/>
  <c r="E31" i="59"/>
  <c r="E32" i="59" s="1"/>
  <c r="C40" i="59" l="1"/>
  <c r="G40" i="59"/>
  <c r="F40" i="59"/>
  <c r="D40" i="59"/>
  <c r="H40" i="59"/>
  <c r="T276" i="59"/>
  <c r="I507" i="59"/>
  <c r="K507" i="59" s="1"/>
  <c r="S285" i="59"/>
  <c r="H516" i="59"/>
  <c r="J516" i="59" s="1"/>
  <c r="T277" i="59"/>
  <c r="I508" i="59"/>
  <c r="K508" i="59" s="1"/>
  <c r="S279" i="59"/>
  <c r="H510" i="59"/>
  <c r="J510" i="59" s="1"/>
  <c r="T283" i="59"/>
  <c r="I514" i="59"/>
  <c r="K514" i="59" s="1"/>
  <c r="T281" i="59"/>
  <c r="I512" i="59"/>
  <c r="K512" i="59" s="1"/>
  <c r="S270" i="59"/>
  <c r="H501" i="59"/>
  <c r="J501" i="59" s="1"/>
  <c r="S284" i="59"/>
  <c r="H515" i="59"/>
  <c r="J515" i="59" s="1"/>
  <c r="S268" i="59"/>
  <c r="H499" i="59"/>
  <c r="J499" i="59" s="1"/>
  <c r="T272" i="59"/>
  <c r="I503" i="59"/>
  <c r="K503" i="59" s="1"/>
  <c r="T285" i="59"/>
  <c r="I516" i="59"/>
  <c r="K516" i="59" s="1"/>
  <c r="S283" i="59"/>
  <c r="H514" i="59"/>
  <c r="J514" i="59" s="1"/>
  <c r="S267" i="59"/>
  <c r="H498" i="59"/>
  <c r="J498" i="59" s="1"/>
  <c r="S273" i="59"/>
  <c r="H504" i="59"/>
  <c r="J504" i="59" s="1"/>
  <c r="S277" i="59"/>
  <c r="H508" i="59"/>
  <c r="J508" i="59" s="1"/>
  <c r="T278" i="59"/>
  <c r="I509" i="59"/>
  <c r="K509" i="59" s="1"/>
  <c r="S275" i="59"/>
  <c r="H506" i="59"/>
  <c r="J506" i="59" s="1"/>
  <c r="T279" i="59"/>
  <c r="I510" i="59"/>
  <c r="K510" i="59" s="1"/>
  <c r="T273" i="59"/>
  <c r="I504" i="59"/>
  <c r="K504" i="59" s="1"/>
  <c r="T282" i="59"/>
  <c r="I513" i="59"/>
  <c r="K513" i="59" s="1"/>
  <c r="S280" i="59"/>
  <c r="H511" i="59"/>
  <c r="J511" i="59" s="1"/>
  <c r="T284" i="59"/>
  <c r="I515" i="59"/>
  <c r="K515" i="59" s="1"/>
  <c r="S274" i="59"/>
  <c r="H505" i="59"/>
  <c r="J505" i="59" s="1"/>
  <c r="T271" i="59"/>
  <c r="I502" i="59"/>
  <c r="K502" i="59" s="1"/>
  <c r="S278" i="59"/>
  <c r="H509" i="59"/>
  <c r="J509" i="59" s="1"/>
  <c r="S272" i="59"/>
  <c r="H503" i="59"/>
  <c r="J503" i="59" s="1"/>
  <c r="S269" i="59"/>
  <c r="H500" i="59"/>
  <c r="J500" i="59" s="1"/>
  <c r="S282" i="59"/>
  <c r="H513" i="59"/>
  <c r="J513" i="59" s="1"/>
  <c r="I501" i="59"/>
  <c r="S271" i="59"/>
  <c r="H502" i="59"/>
  <c r="J502" i="59" s="1"/>
  <c r="T275" i="59"/>
  <c r="I506" i="59"/>
  <c r="K506" i="59" s="1"/>
  <c r="S281" i="59"/>
  <c r="H512" i="59"/>
  <c r="J512" i="59" s="1"/>
  <c r="I500" i="59"/>
  <c r="T274" i="59"/>
  <c r="I505" i="59"/>
  <c r="K505" i="59" s="1"/>
  <c r="H507" i="59"/>
  <c r="T280" i="59"/>
  <c r="I511" i="59"/>
  <c r="K511" i="59" s="1"/>
  <c r="S266" i="59"/>
  <c r="H497" i="59"/>
  <c r="J497" i="59" s="1"/>
  <c r="D43" i="57"/>
  <c r="D33" i="59" s="1"/>
  <c r="D36" i="59" s="1"/>
  <c r="D37" i="59" s="1"/>
  <c r="D39" i="59" s="1"/>
  <c r="H43" i="57"/>
  <c r="H33" i="59" s="1"/>
  <c r="H36" i="59" s="1"/>
  <c r="H37" i="59" s="1"/>
  <c r="H39" i="59" s="1"/>
  <c r="F43" i="57"/>
  <c r="F33" i="59" s="1"/>
  <c r="F36" i="59" s="1"/>
  <c r="F37" i="59" s="1"/>
  <c r="F39" i="59" s="1"/>
  <c r="G43" i="57"/>
  <c r="G33" i="59" s="1"/>
  <c r="G36" i="59" s="1"/>
  <c r="G37" i="59" s="1"/>
  <c r="G39" i="59" s="1"/>
  <c r="C259" i="59"/>
  <c r="P266" i="59"/>
  <c r="I32" i="59"/>
  <c r="I35" i="59" s="1"/>
  <c r="I41" i="59" s="1"/>
  <c r="G34" i="59" l="1"/>
  <c r="H34" i="59"/>
  <c r="F34" i="59"/>
  <c r="N75" i="59"/>
  <c r="O75" i="59"/>
  <c r="G437" i="59"/>
  <c r="AH437" i="59" s="1"/>
  <c r="G436" i="59"/>
  <c r="AH436" i="59" s="1"/>
  <c r="F438" i="59"/>
  <c r="AG438" i="59" s="1"/>
  <c r="G429" i="59"/>
  <c r="AH429" i="59" s="1"/>
  <c r="F434" i="59"/>
  <c r="AG434" i="59" s="1"/>
  <c r="F435" i="59"/>
  <c r="AG435" i="59" s="1"/>
  <c r="F431" i="59"/>
  <c r="AG431" i="59" s="1"/>
  <c r="G425" i="59"/>
  <c r="AH425" i="59" s="1"/>
  <c r="F430" i="59"/>
  <c r="AG430" i="59" s="1"/>
  <c r="F422" i="59"/>
  <c r="AG422" i="59" s="1"/>
  <c r="G440" i="59"/>
  <c r="AH440" i="59" s="1"/>
  <c r="F437" i="59"/>
  <c r="AG437" i="59" s="1"/>
  <c r="F436" i="59"/>
  <c r="AG436" i="59" s="1"/>
  <c r="G438" i="59"/>
  <c r="AH438" i="59" s="1"/>
  <c r="F429" i="59"/>
  <c r="AG429" i="59" s="1"/>
  <c r="G434" i="59"/>
  <c r="AH434" i="59" s="1"/>
  <c r="G435" i="59"/>
  <c r="AH435" i="59" s="1"/>
  <c r="G431" i="59"/>
  <c r="AH431" i="59" s="1"/>
  <c r="F425" i="59"/>
  <c r="AG425" i="59" s="1"/>
  <c r="G430" i="59"/>
  <c r="AH430" i="59" s="1"/>
  <c r="G422" i="59"/>
  <c r="AH422" i="59" s="1"/>
  <c r="G424" i="59"/>
  <c r="AH424" i="59" s="1"/>
  <c r="G433" i="59"/>
  <c r="AH433" i="59" s="1"/>
  <c r="G428" i="59"/>
  <c r="AH428" i="59" s="1"/>
  <c r="F424" i="59"/>
  <c r="AG424" i="59" s="1"/>
  <c r="F428" i="59"/>
  <c r="AG428" i="59" s="1"/>
  <c r="G423" i="59"/>
  <c r="AH423" i="59" s="1"/>
  <c r="G427" i="59"/>
  <c r="AH427" i="59" s="1"/>
  <c r="F441" i="59"/>
  <c r="AG441" i="59" s="1"/>
  <c r="F426" i="59"/>
  <c r="AG426" i="59" s="1"/>
  <c r="F439" i="59"/>
  <c r="AG439" i="59" s="1"/>
  <c r="G432" i="59"/>
  <c r="AH432" i="59" s="1"/>
  <c r="F432" i="59"/>
  <c r="AG432" i="59" s="1"/>
  <c r="F440" i="59"/>
  <c r="AG440" i="59" s="1"/>
  <c r="G426" i="59"/>
  <c r="AH426" i="59" s="1"/>
  <c r="G439" i="59"/>
  <c r="AH439" i="59" s="1"/>
  <c r="F433" i="59"/>
  <c r="AG433" i="59" s="1"/>
  <c r="F423" i="59"/>
  <c r="AG423" i="59" s="1"/>
  <c r="F427" i="59"/>
  <c r="AG427" i="59" s="1"/>
  <c r="G441" i="59"/>
  <c r="AH441" i="59" s="1"/>
  <c r="I40" i="59"/>
  <c r="W440" i="59"/>
  <c r="AP440" i="59" s="1"/>
  <c r="W430" i="59"/>
  <c r="AP430" i="59" s="1"/>
  <c r="W425" i="59"/>
  <c r="AP425" i="59" s="1"/>
  <c r="W432" i="59"/>
  <c r="AP432" i="59" s="1"/>
  <c r="V439" i="59"/>
  <c r="AO439" i="59" s="1"/>
  <c r="W424" i="59"/>
  <c r="AP424" i="59" s="1"/>
  <c r="W441" i="59"/>
  <c r="AP441" i="59" s="1"/>
  <c r="W428" i="59"/>
  <c r="AP428" i="59" s="1"/>
  <c r="V431" i="59"/>
  <c r="AO431" i="59" s="1"/>
  <c r="W429" i="59"/>
  <c r="AP429" i="59" s="1"/>
  <c r="W436" i="59"/>
  <c r="AP436" i="59" s="1"/>
  <c r="W426" i="59"/>
  <c r="AP426" i="59" s="1"/>
  <c r="V440" i="59"/>
  <c r="AO440" i="59" s="1"/>
  <c r="V430" i="59"/>
  <c r="AO430" i="59" s="1"/>
  <c r="V425" i="59"/>
  <c r="AO425" i="59" s="1"/>
  <c r="V432" i="59"/>
  <c r="AO432" i="59" s="1"/>
  <c r="W439" i="59"/>
  <c r="AP439" i="59" s="1"/>
  <c r="V424" i="59"/>
  <c r="AO424" i="59" s="1"/>
  <c r="V441" i="59"/>
  <c r="AO441" i="59" s="1"/>
  <c r="V422" i="59"/>
  <c r="AO422" i="59" s="1"/>
  <c r="V428" i="59"/>
  <c r="AO428" i="59" s="1"/>
  <c r="W431" i="59"/>
  <c r="AP431" i="59" s="1"/>
  <c r="V435" i="59"/>
  <c r="AO435" i="59" s="1"/>
  <c r="V436" i="59"/>
  <c r="AO436" i="59" s="1"/>
  <c r="V437" i="59"/>
  <c r="AO437" i="59" s="1"/>
  <c r="W423" i="59"/>
  <c r="AP423" i="59" s="1"/>
  <c r="W427" i="59"/>
  <c r="AP427" i="59" s="1"/>
  <c r="V434" i="59"/>
  <c r="AO434" i="59" s="1"/>
  <c r="W435" i="59"/>
  <c r="AP435" i="59" s="1"/>
  <c r="V438" i="59"/>
  <c r="AO438" i="59" s="1"/>
  <c r="W422" i="59"/>
  <c r="AP422" i="59" s="1"/>
  <c r="V423" i="59"/>
  <c r="AO423" i="59" s="1"/>
  <c r="W434" i="59"/>
  <c r="AP434" i="59" s="1"/>
  <c r="V429" i="59"/>
  <c r="AO429" i="59" s="1"/>
  <c r="V426" i="59"/>
  <c r="AO426" i="59" s="1"/>
  <c r="W438" i="59"/>
  <c r="AP438" i="59" s="1"/>
  <c r="W433" i="59"/>
  <c r="AP433" i="59" s="1"/>
  <c r="V433" i="59"/>
  <c r="AO433" i="59" s="1"/>
  <c r="W437" i="59"/>
  <c r="AP437" i="59" s="1"/>
  <c r="V427" i="59"/>
  <c r="AO427" i="59" s="1"/>
  <c r="N431" i="59"/>
  <c r="AK431" i="59" s="1"/>
  <c r="O424" i="59"/>
  <c r="AL424" i="59" s="1"/>
  <c r="O436" i="59"/>
  <c r="AL436" i="59" s="1"/>
  <c r="O425" i="59"/>
  <c r="AL425" i="59" s="1"/>
  <c r="N427" i="59"/>
  <c r="AK427" i="59" s="1"/>
  <c r="N434" i="59"/>
  <c r="AK434" i="59" s="1"/>
  <c r="O429" i="59"/>
  <c r="AL429" i="59" s="1"/>
  <c r="N435" i="59"/>
  <c r="AK435" i="59" s="1"/>
  <c r="O437" i="59"/>
  <c r="AL437" i="59" s="1"/>
  <c r="N438" i="59"/>
  <c r="AK438" i="59" s="1"/>
  <c r="O428" i="59"/>
  <c r="AL428" i="59" s="1"/>
  <c r="O431" i="59"/>
  <c r="AL431" i="59" s="1"/>
  <c r="N424" i="59"/>
  <c r="AK424" i="59" s="1"/>
  <c r="N436" i="59"/>
  <c r="AK436" i="59" s="1"/>
  <c r="N425" i="59"/>
  <c r="AK425" i="59" s="1"/>
  <c r="O422" i="59"/>
  <c r="AL422" i="59" s="1"/>
  <c r="O427" i="59"/>
  <c r="AL427" i="59" s="1"/>
  <c r="O434" i="59"/>
  <c r="AL434" i="59" s="1"/>
  <c r="N429" i="59"/>
  <c r="AK429" i="59" s="1"/>
  <c r="O435" i="59"/>
  <c r="AL435" i="59" s="1"/>
  <c r="N437" i="59"/>
  <c r="AK437" i="59" s="1"/>
  <c r="O438" i="59"/>
  <c r="AL438" i="59" s="1"/>
  <c r="N423" i="59"/>
  <c r="AK423" i="59" s="1"/>
  <c r="N441" i="59"/>
  <c r="AK441" i="59" s="1"/>
  <c r="O426" i="59"/>
  <c r="AL426" i="59" s="1"/>
  <c r="N440" i="59"/>
  <c r="AK440" i="59" s="1"/>
  <c r="O439" i="59"/>
  <c r="AL439" i="59" s="1"/>
  <c r="O433" i="59"/>
  <c r="AL433" i="59" s="1"/>
  <c r="O430" i="59"/>
  <c r="AL430" i="59" s="1"/>
  <c r="O432" i="59"/>
  <c r="AL432" i="59" s="1"/>
  <c r="N428" i="59"/>
  <c r="AK428" i="59" s="1"/>
  <c r="O423" i="59"/>
  <c r="AL423" i="59" s="1"/>
  <c r="N433" i="59"/>
  <c r="AK433" i="59" s="1"/>
  <c r="N432" i="59"/>
  <c r="AK432" i="59" s="1"/>
  <c r="O441" i="59"/>
  <c r="AL441" i="59" s="1"/>
  <c r="N439" i="59"/>
  <c r="AK439" i="59" s="1"/>
  <c r="N422" i="59"/>
  <c r="AK422" i="59" s="1"/>
  <c r="N430" i="59"/>
  <c r="AK430" i="59" s="1"/>
  <c r="N426" i="59"/>
  <c r="AK426" i="59" s="1"/>
  <c r="O440" i="59"/>
  <c r="AL440" i="59" s="1"/>
  <c r="S440" i="59"/>
  <c r="AN440" i="59" s="1"/>
  <c r="R429" i="59"/>
  <c r="AM429" i="59" s="1"/>
  <c r="R436" i="59"/>
  <c r="AM436" i="59" s="1"/>
  <c r="S434" i="59"/>
  <c r="AN434" i="59" s="1"/>
  <c r="S431" i="59"/>
  <c r="AN431" i="59" s="1"/>
  <c r="R437" i="59"/>
  <c r="AM437" i="59" s="1"/>
  <c r="S430" i="59"/>
  <c r="AN430" i="59" s="1"/>
  <c r="R422" i="59"/>
  <c r="AM422" i="59" s="1"/>
  <c r="R441" i="59"/>
  <c r="AM441" i="59" s="1"/>
  <c r="S423" i="59"/>
  <c r="AN423" i="59" s="1"/>
  <c r="R433" i="59"/>
  <c r="AM433" i="59" s="1"/>
  <c r="S426" i="59"/>
  <c r="AN426" i="59" s="1"/>
  <c r="S438" i="59"/>
  <c r="AN438" i="59" s="1"/>
  <c r="R425" i="59"/>
  <c r="AM425" i="59" s="1"/>
  <c r="R440" i="59"/>
  <c r="AM440" i="59" s="1"/>
  <c r="S429" i="59"/>
  <c r="AN429" i="59" s="1"/>
  <c r="S436" i="59"/>
  <c r="AN436" i="59" s="1"/>
  <c r="R434" i="59"/>
  <c r="AM434" i="59" s="1"/>
  <c r="R431" i="59"/>
  <c r="AM431" i="59" s="1"/>
  <c r="S437" i="59"/>
  <c r="AN437" i="59" s="1"/>
  <c r="R430" i="59"/>
  <c r="AM430" i="59" s="1"/>
  <c r="S441" i="59"/>
  <c r="AN441" i="59" s="1"/>
  <c r="R423" i="59"/>
  <c r="AM423" i="59" s="1"/>
  <c r="S433" i="59"/>
  <c r="AN433" i="59" s="1"/>
  <c r="R426" i="59"/>
  <c r="AM426" i="59" s="1"/>
  <c r="R424" i="59"/>
  <c r="AM424" i="59" s="1"/>
  <c r="R435" i="59"/>
  <c r="AM435" i="59" s="1"/>
  <c r="R427" i="59"/>
  <c r="AM427" i="59" s="1"/>
  <c r="S439" i="59"/>
  <c r="AN439" i="59" s="1"/>
  <c r="R428" i="59"/>
  <c r="AM428" i="59" s="1"/>
  <c r="R438" i="59"/>
  <c r="AM438" i="59" s="1"/>
  <c r="S432" i="59"/>
  <c r="AN432" i="59" s="1"/>
  <c r="R439" i="59"/>
  <c r="AM439" i="59" s="1"/>
  <c r="S425" i="59"/>
  <c r="AN425" i="59" s="1"/>
  <c r="S435" i="59"/>
  <c r="AN435" i="59" s="1"/>
  <c r="S424" i="59"/>
  <c r="AN424" i="59" s="1"/>
  <c r="R432" i="59"/>
  <c r="AM432" i="59" s="1"/>
  <c r="S422" i="59"/>
  <c r="AN422" i="59" s="1"/>
  <c r="S428" i="59"/>
  <c r="AN428" i="59" s="1"/>
  <c r="S427" i="59"/>
  <c r="AN427" i="59" s="1"/>
  <c r="Z75" i="59"/>
  <c r="AA75" i="59"/>
  <c r="AE75" i="59"/>
  <c r="AD75" i="59"/>
  <c r="W75" i="59"/>
  <c r="V75" i="59"/>
  <c r="C423" i="59"/>
  <c r="AF423" i="59" s="1"/>
  <c r="C427" i="59"/>
  <c r="AF427" i="59" s="1"/>
  <c r="C430" i="59"/>
  <c r="AF430" i="59" s="1"/>
  <c r="B440" i="59"/>
  <c r="AE440" i="59" s="1"/>
  <c r="C439" i="59"/>
  <c r="AF439" i="59" s="1"/>
  <c r="C426" i="59"/>
  <c r="AF426" i="59" s="1"/>
  <c r="B429" i="59"/>
  <c r="AE429" i="59" s="1"/>
  <c r="B441" i="59"/>
  <c r="AE441" i="59" s="1"/>
  <c r="B422" i="59"/>
  <c r="B433" i="59"/>
  <c r="AE433" i="59" s="1"/>
  <c r="C438" i="59"/>
  <c r="AF438" i="59" s="1"/>
  <c r="B423" i="59"/>
  <c r="AE423" i="59" s="1"/>
  <c r="B427" i="59"/>
  <c r="AE427" i="59" s="1"/>
  <c r="B430" i="59"/>
  <c r="AE430" i="59" s="1"/>
  <c r="C440" i="59"/>
  <c r="AF440" i="59" s="1"/>
  <c r="B439" i="59"/>
  <c r="AE439" i="59" s="1"/>
  <c r="B426" i="59"/>
  <c r="AE426" i="59" s="1"/>
  <c r="C429" i="59"/>
  <c r="AF429" i="59" s="1"/>
  <c r="C441" i="59"/>
  <c r="AF441" i="59" s="1"/>
  <c r="C433" i="59"/>
  <c r="AF433" i="59" s="1"/>
  <c r="B438" i="59"/>
  <c r="AE438" i="59" s="1"/>
  <c r="C435" i="59"/>
  <c r="AF435" i="59" s="1"/>
  <c r="B425" i="59"/>
  <c r="AE425" i="59" s="1"/>
  <c r="C428" i="59"/>
  <c r="AF428" i="59" s="1"/>
  <c r="C424" i="59"/>
  <c r="AF424" i="59" s="1"/>
  <c r="C436" i="59"/>
  <c r="AF436" i="59" s="1"/>
  <c r="B431" i="59"/>
  <c r="AE431" i="59" s="1"/>
  <c r="B432" i="59"/>
  <c r="AE432" i="59" s="1"/>
  <c r="C437" i="59"/>
  <c r="AF437" i="59" s="1"/>
  <c r="C425" i="59"/>
  <c r="AF425" i="59" s="1"/>
  <c r="B428" i="59"/>
  <c r="AE428" i="59" s="1"/>
  <c r="B424" i="59"/>
  <c r="AE424" i="59" s="1"/>
  <c r="B436" i="59"/>
  <c r="AE436" i="59" s="1"/>
  <c r="C422" i="59"/>
  <c r="AF422" i="59" s="1"/>
  <c r="B437" i="59"/>
  <c r="AE437" i="59" s="1"/>
  <c r="C434" i="59"/>
  <c r="AF434" i="59" s="1"/>
  <c r="B434" i="59"/>
  <c r="AE434" i="59" s="1"/>
  <c r="C432" i="59"/>
  <c r="AF432" i="59" s="1"/>
  <c r="B435" i="59"/>
  <c r="AE435" i="59" s="1"/>
  <c r="C431" i="59"/>
  <c r="AF431" i="59" s="1"/>
  <c r="V266" i="59"/>
  <c r="M497" i="59" s="1"/>
  <c r="Q497" i="59" s="1"/>
  <c r="G497" i="59"/>
  <c r="K497" i="59" s="1"/>
  <c r="I43" i="57"/>
  <c r="I33" i="59" s="1"/>
  <c r="I36" i="59" s="1"/>
  <c r="I37" i="59" s="1"/>
  <c r="I39" i="59" s="1"/>
  <c r="U266" i="59"/>
  <c r="L497" i="59" s="1"/>
  <c r="P497" i="59" s="1"/>
  <c r="T266" i="59"/>
  <c r="F59" i="58"/>
  <c r="E59" i="58"/>
  <c r="I34" i="59" l="1"/>
  <c r="AE422" i="59"/>
  <c r="AH75" i="59"/>
  <c r="AI75" i="59"/>
  <c r="AA436" i="59"/>
  <c r="AR436" i="59" s="1"/>
  <c r="M464" i="59" s="1"/>
  <c r="Z425" i="59"/>
  <c r="AQ425" i="59" s="1"/>
  <c r="K453" i="59" s="1"/>
  <c r="AA435" i="59"/>
  <c r="AR435" i="59" s="1"/>
  <c r="M463" i="59" s="1"/>
  <c r="AA428" i="59"/>
  <c r="AR428" i="59" s="1"/>
  <c r="M456" i="59" s="1"/>
  <c r="AA427" i="59"/>
  <c r="AR427" i="59" s="1"/>
  <c r="M455" i="59" s="1"/>
  <c r="Z437" i="59"/>
  <c r="AQ437" i="59" s="1"/>
  <c r="K465" i="59" s="1"/>
  <c r="AA440" i="59"/>
  <c r="AR440" i="59" s="1"/>
  <c r="M468" i="59" s="1"/>
  <c r="Z429" i="59"/>
  <c r="AQ429" i="59" s="1"/>
  <c r="K457" i="59" s="1"/>
  <c r="Z422" i="59"/>
  <c r="AQ422" i="59" s="1"/>
  <c r="Z439" i="59"/>
  <c r="AQ439" i="59" s="1"/>
  <c r="K467" i="59" s="1"/>
  <c r="AA438" i="59"/>
  <c r="AR438" i="59" s="1"/>
  <c r="M466" i="59" s="1"/>
  <c r="AA432" i="59"/>
  <c r="AR432" i="59" s="1"/>
  <c r="Z436" i="59"/>
  <c r="AQ436" i="59" s="1"/>
  <c r="K464" i="59" s="1"/>
  <c r="AA425" i="59"/>
  <c r="AR425" i="59" s="1"/>
  <c r="M453" i="59" s="1"/>
  <c r="Z435" i="59"/>
  <c r="AQ435" i="59" s="1"/>
  <c r="K463" i="59" s="1"/>
  <c r="Z428" i="59"/>
  <c r="AQ428" i="59" s="1"/>
  <c r="K456" i="59" s="1"/>
  <c r="Z427" i="59"/>
  <c r="AQ427" i="59" s="1"/>
  <c r="K455" i="59" s="1"/>
  <c r="AA437" i="59"/>
  <c r="AR437" i="59" s="1"/>
  <c r="M465" i="59" s="1"/>
  <c r="Z440" i="59"/>
  <c r="AQ440" i="59" s="1"/>
  <c r="K468" i="59" s="1"/>
  <c r="AA429" i="59"/>
  <c r="AR429" i="59" s="1"/>
  <c r="M457" i="59" s="1"/>
  <c r="Z441" i="59"/>
  <c r="AQ441" i="59" s="1"/>
  <c r="K469" i="59" s="1"/>
  <c r="AA434" i="59"/>
  <c r="AR434" i="59" s="1"/>
  <c r="Z438" i="59"/>
  <c r="AQ438" i="59" s="1"/>
  <c r="K466" i="59" s="1"/>
  <c r="AA423" i="59"/>
  <c r="AR423" i="59" s="1"/>
  <c r="M451" i="59" s="1"/>
  <c r="Z430" i="59"/>
  <c r="AQ430" i="59" s="1"/>
  <c r="K458" i="59" s="1"/>
  <c r="AA431" i="59"/>
  <c r="AR431" i="59" s="1"/>
  <c r="Z424" i="59"/>
  <c r="AQ424" i="59" s="1"/>
  <c r="Z426" i="59"/>
  <c r="AQ426" i="59" s="1"/>
  <c r="K454" i="59" s="1"/>
  <c r="Z433" i="59"/>
  <c r="AQ433" i="59" s="1"/>
  <c r="AA422" i="59"/>
  <c r="AR422" i="59" s="1"/>
  <c r="AA439" i="59"/>
  <c r="AR439" i="59" s="1"/>
  <c r="M467" i="59" s="1"/>
  <c r="Z434" i="59"/>
  <c r="AQ434" i="59" s="1"/>
  <c r="AA441" i="59"/>
  <c r="AR441" i="59" s="1"/>
  <c r="M469" i="59" s="1"/>
  <c r="Z423" i="59"/>
  <c r="AQ423" i="59" s="1"/>
  <c r="K451" i="59" s="1"/>
  <c r="AA426" i="59"/>
  <c r="AR426" i="59" s="1"/>
  <c r="M454" i="59" s="1"/>
  <c r="Z432" i="59"/>
  <c r="AQ432" i="59" s="1"/>
  <c r="AA433" i="59"/>
  <c r="AR433" i="59" s="1"/>
  <c r="AA430" i="59"/>
  <c r="AR430" i="59" s="1"/>
  <c r="M458" i="59" s="1"/>
  <c r="Z431" i="59"/>
  <c r="AQ431" i="59" s="1"/>
  <c r="AA424" i="59"/>
  <c r="AR424" i="59" s="1"/>
  <c r="R497" i="59"/>
  <c r="E35" i="59"/>
  <c r="E41" i="59" s="1"/>
  <c r="M301" i="59"/>
  <c r="AA77" i="59"/>
  <c r="AA81" i="59"/>
  <c r="AA87" i="59"/>
  <c r="AA93" i="59"/>
  <c r="Z79" i="59"/>
  <c r="Z81" i="59"/>
  <c r="Z85" i="59"/>
  <c r="Z89" i="59"/>
  <c r="AA76" i="59"/>
  <c r="AA80" i="59"/>
  <c r="AA86" i="59"/>
  <c r="AA92" i="59"/>
  <c r="Z76" i="59"/>
  <c r="Z78" i="59"/>
  <c r="Z80" i="59"/>
  <c r="Z82" i="59"/>
  <c r="Z84" i="59"/>
  <c r="Z86" i="59"/>
  <c r="Z88" i="59"/>
  <c r="Z90" i="59"/>
  <c r="Z92" i="59"/>
  <c r="Z94" i="59"/>
  <c r="AA79" i="59"/>
  <c r="AA83" i="59"/>
  <c r="AA85" i="59"/>
  <c r="AA89" i="59"/>
  <c r="AA91" i="59"/>
  <c r="Z77" i="59"/>
  <c r="Z83" i="59"/>
  <c r="Z87" i="59"/>
  <c r="Z91" i="59"/>
  <c r="Z93" i="59"/>
  <c r="AA78" i="59"/>
  <c r="AA82" i="59"/>
  <c r="AA84" i="59"/>
  <c r="AA88" i="59"/>
  <c r="AA90" i="59"/>
  <c r="AA94" i="59"/>
  <c r="D34" i="59"/>
  <c r="C59" i="58"/>
  <c r="D59" i="58"/>
  <c r="E40" i="59" l="1"/>
  <c r="E43" i="57"/>
  <c r="E33" i="59" s="1"/>
  <c r="AI76" i="59"/>
  <c r="AI78" i="59"/>
  <c r="AI80" i="59"/>
  <c r="AI82" i="59"/>
  <c r="AI84" i="59"/>
  <c r="AI86" i="59"/>
  <c r="AI88" i="59"/>
  <c r="AI90" i="59"/>
  <c r="AI92" i="59"/>
  <c r="AI94" i="59"/>
  <c r="AH77" i="59"/>
  <c r="AH79" i="59"/>
  <c r="AH81" i="59"/>
  <c r="AH83" i="59"/>
  <c r="AH85" i="59"/>
  <c r="AH87" i="59"/>
  <c r="AH91" i="59"/>
  <c r="AH93" i="59"/>
  <c r="AH76" i="59"/>
  <c r="AH78" i="59"/>
  <c r="AH80" i="59"/>
  <c r="AH82" i="59"/>
  <c r="AH84" i="59"/>
  <c r="AH86" i="59"/>
  <c r="AH88" i="59"/>
  <c r="AH90" i="59"/>
  <c r="AH92" i="59"/>
  <c r="AH94" i="59"/>
  <c r="AI77" i="59"/>
  <c r="AI79" i="59"/>
  <c r="AI81" i="59"/>
  <c r="AI83" i="59"/>
  <c r="AI85" i="59"/>
  <c r="AI87" i="59"/>
  <c r="AI89" i="59"/>
  <c r="AI91" i="59"/>
  <c r="AI93" i="59"/>
  <c r="AH89" i="59"/>
  <c r="AV76" i="59"/>
  <c r="AU76" i="59"/>
  <c r="AV80" i="59"/>
  <c r="AV81" i="59"/>
  <c r="AU79" i="59"/>
  <c r="AU77" i="59"/>
  <c r="AV79" i="59"/>
  <c r="AU78" i="59"/>
  <c r="AV77" i="59"/>
  <c r="AU81" i="59"/>
  <c r="AV78" i="59"/>
  <c r="AU80" i="59"/>
  <c r="AV90" i="59"/>
  <c r="AU93" i="59"/>
  <c r="AV93" i="59"/>
  <c r="AU90" i="59"/>
  <c r="AU92" i="59"/>
  <c r="AU91" i="59"/>
  <c r="AV94" i="59"/>
  <c r="AV92" i="59"/>
  <c r="AU94" i="59"/>
  <c r="AV91" i="59"/>
  <c r="AU89" i="59"/>
  <c r="AV84" i="59"/>
  <c r="AV88" i="59"/>
  <c r="AV85" i="59"/>
  <c r="AV83" i="59"/>
  <c r="AV87" i="59"/>
  <c r="AV82" i="59"/>
  <c r="AU82" i="59"/>
  <c r="AU86" i="59"/>
  <c r="AV89" i="59"/>
  <c r="AU84" i="59"/>
  <c r="AV86" i="59"/>
  <c r="AU85" i="59"/>
  <c r="AU87" i="59"/>
  <c r="AU88" i="59"/>
  <c r="AU83" i="59"/>
  <c r="AU75" i="59"/>
  <c r="E36" i="59" l="1"/>
  <c r="E37" i="59" s="1"/>
  <c r="E39" i="59" s="1"/>
  <c r="S75" i="59" s="1"/>
  <c r="E34" i="59"/>
  <c r="J428" i="59"/>
  <c r="AI428" i="59" s="1"/>
  <c r="K427" i="59"/>
  <c r="AJ427" i="59" s="1"/>
  <c r="K430" i="59"/>
  <c r="AJ430" i="59" s="1"/>
  <c r="J441" i="59"/>
  <c r="AI441" i="59" s="1"/>
  <c r="C469" i="59" s="1"/>
  <c r="K422" i="59"/>
  <c r="AJ422" i="59" s="1"/>
  <c r="K426" i="59"/>
  <c r="AJ426" i="59" s="1"/>
  <c r="K434" i="59"/>
  <c r="AJ434" i="59" s="1"/>
  <c r="K423" i="59"/>
  <c r="AJ423" i="59" s="1"/>
  <c r="J432" i="59"/>
  <c r="AI432" i="59" s="1"/>
  <c r="J436" i="59"/>
  <c r="AI436" i="59" s="1"/>
  <c r="K435" i="59"/>
  <c r="AJ435" i="59" s="1"/>
  <c r="K431" i="59"/>
  <c r="AJ431" i="59" s="1"/>
  <c r="K428" i="59"/>
  <c r="AJ428" i="59" s="1"/>
  <c r="J427" i="59"/>
  <c r="AI427" i="59" s="1"/>
  <c r="J430" i="59"/>
  <c r="AI430" i="59" s="1"/>
  <c r="K441" i="59"/>
  <c r="AJ441" i="59" s="1"/>
  <c r="J426" i="59"/>
  <c r="AI426" i="59" s="1"/>
  <c r="J434" i="59"/>
  <c r="AI434" i="59" s="1"/>
  <c r="J423" i="59"/>
  <c r="AI423" i="59" s="1"/>
  <c r="K432" i="59"/>
  <c r="AJ432" i="59" s="1"/>
  <c r="K436" i="59"/>
  <c r="AJ436" i="59" s="1"/>
  <c r="J435" i="59"/>
  <c r="AI435" i="59" s="1"/>
  <c r="J433" i="59"/>
  <c r="AI433" i="59" s="1"/>
  <c r="J424" i="59"/>
  <c r="AI424" i="59" s="1"/>
  <c r="J431" i="59"/>
  <c r="AI431" i="59" s="1"/>
  <c r="K424" i="59"/>
  <c r="AJ424" i="59" s="1"/>
  <c r="K425" i="59"/>
  <c r="AJ425" i="59" s="1"/>
  <c r="K437" i="59"/>
  <c r="AJ437" i="59" s="1"/>
  <c r="K439" i="59"/>
  <c r="AJ439" i="59" s="1"/>
  <c r="K440" i="59"/>
  <c r="AJ440" i="59" s="1"/>
  <c r="J439" i="59"/>
  <c r="AI439" i="59" s="1"/>
  <c r="J437" i="59"/>
  <c r="AI437" i="59" s="1"/>
  <c r="K433" i="59"/>
  <c r="AJ433" i="59" s="1"/>
  <c r="J440" i="59"/>
  <c r="AI440" i="59" s="1"/>
  <c r="J422" i="59"/>
  <c r="J429" i="59"/>
  <c r="AI429" i="59" s="1"/>
  <c r="K438" i="59"/>
  <c r="AJ438" i="59" s="1"/>
  <c r="K429" i="59"/>
  <c r="AJ429" i="59" s="1"/>
  <c r="J438" i="59"/>
  <c r="AI438" i="59" s="1"/>
  <c r="J425" i="59"/>
  <c r="AI425" i="59" s="1"/>
  <c r="R114" i="59"/>
  <c r="Q108" i="59"/>
  <c r="R111" i="59"/>
  <c r="Q107" i="59"/>
  <c r="R110" i="59"/>
  <c r="R116" i="59"/>
  <c r="Q116" i="59"/>
  <c r="Q118" i="59"/>
  <c r="Q106" i="59"/>
  <c r="Q102" i="59"/>
  <c r="Q101" i="59"/>
  <c r="Q113" i="59"/>
  <c r="Q109" i="59"/>
  <c r="R107" i="59"/>
  <c r="R113" i="59"/>
  <c r="Q119" i="59"/>
  <c r="Q117" i="59"/>
  <c r="R115" i="59"/>
  <c r="R102" i="59"/>
  <c r="Q104" i="59"/>
  <c r="R101" i="59"/>
  <c r="Q112" i="59"/>
  <c r="R112" i="59"/>
  <c r="R109" i="59"/>
  <c r="R117" i="59"/>
  <c r="Q115" i="59"/>
  <c r="Q105" i="59"/>
  <c r="Q103" i="59"/>
  <c r="R106" i="59"/>
  <c r="Q100" i="59"/>
  <c r="Q110" i="59"/>
  <c r="Q111" i="59"/>
  <c r="R108" i="59"/>
  <c r="Q114" i="59"/>
  <c r="R119" i="59"/>
  <c r="R118" i="59"/>
  <c r="R103" i="59"/>
  <c r="R104" i="59"/>
  <c r="R105" i="59"/>
  <c r="V76" i="59"/>
  <c r="V78" i="59"/>
  <c r="V80" i="59"/>
  <c r="V82" i="59"/>
  <c r="V84" i="59"/>
  <c r="V86" i="59"/>
  <c r="V88" i="59"/>
  <c r="V90" i="59"/>
  <c r="V92" i="59"/>
  <c r="V94" i="59"/>
  <c r="W77" i="59"/>
  <c r="W79" i="59"/>
  <c r="W81" i="59"/>
  <c r="W83" i="59"/>
  <c r="W85" i="59"/>
  <c r="W87" i="59"/>
  <c r="W89" i="59"/>
  <c r="W91" i="59"/>
  <c r="W93" i="59"/>
  <c r="V77" i="59"/>
  <c r="V79" i="59"/>
  <c r="V81" i="59"/>
  <c r="V83" i="59"/>
  <c r="V85" i="59"/>
  <c r="V87" i="59"/>
  <c r="V89" i="59"/>
  <c r="V91" i="59"/>
  <c r="V93" i="59"/>
  <c r="W76" i="59"/>
  <c r="W78" i="59"/>
  <c r="W80" i="59"/>
  <c r="W82" i="59"/>
  <c r="W84" i="59"/>
  <c r="W86" i="59"/>
  <c r="W88" i="59"/>
  <c r="W90" i="59"/>
  <c r="W92" i="59"/>
  <c r="W94" i="59"/>
  <c r="S78" i="59"/>
  <c r="S80" i="59"/>
  <c r="S88" i="59"/>
  <c r="S94" i="59"/>
  <c r="R76" i="59"/>
  <c r="R90" i="59"/>
  <c r="S79" i="59"/>
  <c r="S81" i="59"/>
  <c r="S89" i="59"/>
  <c r="R77" i="59"/>
  <c r="R79" i="59"/>
  <c r="R87" i="59"/>
  <c r="R93" i="59"/>
  <c r="R78" i="59"/>
  <c r="O77" i="59"/>
  <c r="O79" i="59"/>
  <c r="O81" i="59"/>
  <c r="O83" i="59"/>
  <c r="O85" i="59"/>
  <c r="O87" i="59"/>
  <c r="O89" i="59"/>
  <c r="O91" i="59"/>
  <c r="O93" i="59"/>
  <c r="O76" i="59"/>
  <c r="O80" i="59"/>
  <c r="O84" i="59"/>
  <c r="O88" i="59"/>
  <c r="O92" i="59"/>
  <c r="N76" i="59"/>
  <c r="N82" i="59"/>
  <c r="N86" i="59"/>
  <c r="N90" i="59"/>
  <c r="N94" i="59"/>
  <c r="N77" i="59"/>
  <c r="N79" i="59"/>
  <c r="N81" i="59"/>
  <c r="N83" i="59"/>
  <c r="N85" i="59"/>
  <c r="N87" i="59"/>
  <c r="N89" i="59"/>
  <c r="N91" i="59"/>
  <c r="N93" i="59"/>
  <c r="O78" i="59"/>
  <c r="O82" i="59"/>
  <c r="O86" i="59"/>
  <c r="O90" i="59"/>
  <c r="O94" i="59"/>
  <c r="N78" i="59"/>
  <c r="N80" i="59"/>
  <c r="N84" i="59"/>
  <c r="N88" i="59"/>
  <c r="N92" i="59"/>
  <c r="AZ75" i="59"/>
  <c r="AZ81" i="59"/>
  <c r="AY75" i="59"/>
  <c r="AZ78" i="59"/>
  <c r="AZ77" i="59"/>
  <c r="AY78" i="59"/>
  <c r="AZ79" i="59"/>
  <c r="AY76" i="59"/>
  <c r="AY80" i="59"/>
  <c r="AY79" i="59"/>
  <c r="AZ80" i="59"/>
  <c r="AZ76" i="59"/>
  <c r="AY81" i="59"/>
  <c r="AY77" i="59"/>
  <c r="AZ93" i="59"/>
  <c r="AY93" i="59"/>
  <c r="AZ94" i="59"/>
  <c r="AY90" i="59"/>
  <c r="AZ91" i="59"/>
  <c r="AY91" i="59"/>
  <c r="AY92" i="59"/>
  <c r="AZ92" i="59"/>
  <c r="AY94" i="59"/>
  <c r="AZ90" i="59"/>
  <c r="AY85" i="59"/>
  <c r="AY84" i="59"/>
  <c r="AZ85" i="59"/>
  <c r="AY89" i="59"/>
  <c r="AZ82" i="59"/>
  <c r="AZ84" i="59"/>
  <c r="AY86" i="59"/>
  <c r="AZ86" i="59"/>
  <c r="AZ88" i="59"/>
  <c r="AZ87" i="59"/>
  <c r="AY82" i="59"/>
  <c r="AZ83" i="59"/>
  <c r="AZ89" i="59"/>
  <c r="AY87" i="59"/>
  <c r="AY83" i="59"/>
  <c r="AY88" i="59"/>
  <c r="AV75" i="59"/>
  <c r="R91" i="59" l="1"/>
  <c r="AQ91" i="59" s="1"/>
  <c r="S93" i="59"/>
  <c r="AR93" i="59" s="1"/>
  <c r="S77" i="59"/>
  <c r="S92" i="59"/>
  <c r="S76" i="59"/>
  <c r="R89" i="59"/>
  <c r="AQ89" i="59" s="1"/>
  <c r="S91" i="59"/>
  <c r="R92" i="59"/>
  <c r="AQ92" i="59" s="1"/>
  <c r="S90" i="59"/>
  <c r="AR90" i="59" s="1"/>
  <c r="R94" i="59"/>
  <c r="AQ94" i="59" s="1"/>
  <c r="R85" i="59"/>
  <c r="S87" i="59"/>
  <c r="R86" i="59"/>
  <c r="S86" i="59"/>
  <c r="AR86" i="59" s="1"/>
  <c r="R88" i="59"/>
  <c r="R83" i="59"/>
  <c r="AQ83" i="59" s="1"/>
  <c r="S85" i="59"/>
  <c r="R84" i="59"/>
  <c r="AQ84" i="59" s="1"/>
  <c r="S84" i="59"/>
  <c r="R82" i="59"/>
  <c r="R81" i="59"/>
  <c r="S83" i="59"/>
  <c r="AR83" i="59" s="1"/>
  <c r="R80" i="59"/>
  <c r="S82" i="59"/>
  <c r="AR82" i="59" s="1"/>
  <c r="R75" i="59"/>
  <c r="AQ75" i="59" s="1"/>
  <c r="AT422" i="59"/>
  <c r="E450" i="59"/>
  <c r="C468" i="59"/>
  <c r="AS440" i="59"/>
  <c r="AS434" i="59"/>
  <c r="AS436" i="59"/>
  <c r="C464" i="59"/>
  <c r="AT427" i="59"/>
  <c r="E455" i="59"/>
  <c r="AT433" i="59"/>
  <c r="AT436" i="59"/>
  <c r="E464" i="59"/>
  <c r="AT428" i="59"/>
  <c r="E456" i="59"/>
  <c r="AS425" i="59"/>
  <c r="C453" i="59"/>
  <c r="AS429" i="59"/>
  <c r="C457" i="59"/>
  <c r="AS437" i="59"/>
  <c r="C465" i="59"/>
  <c r="AT437" i="59"/>
  <c r="E465" i="59"/>
  <c r="AT432" i="59"/>
  <c r="AT441" i="59"/>
  <c r="E469" i="59"/>
  <c r="AT431" i="59"/>
  <c r="AS441" i="59"/>
  <c r="AT429" i="59"/>
  <c r="E457" i="59"/>
  <c r="AT440" i="59"/>
  <c r="E468" i="59"/>
  <c r="AS435" i="59"/>
  <c r="C463" i="59"/>
  <c r="AS427" i="59"/>
  <c r="C455" i="59"/>
  <c r="AT426" i="59"/>
  <c r="E454" i="59"/>
  <c r="AT438" i="59"/>
  <c r="E466" i="59"/>
  <c r="AT439" i="59"/>
  <c r="E467" i="59"/>
  <c r="AS431" i="59"/>
  <c r="AS426" i="59"/>
  <c r="C454" i="59"/>
  <c r="AS432" i="59"/>
  <c r="AS428" i="59"/>
  <c r="C456" i="59"/>
  <c r="AS438" i="59"/>
  <c r="C466" i="59"/>
  <c r="AI422" i="59"/>
  <c r="C450" i="59" s="1"/>
  <c r="AS439" i="59"/>
  <c r="C467" i="59"/>
  <c r="AT425" i="59"/>
  <c r="E453" i="59"/>
  <c r="AS433" i="59"/>
  <c r="AS430" i="59"/>
  <c r="C458" i="59"/>
  <c r="AT435" i="59"/>
  <c r="E463" i="59"/>
  <c r="AT434" i="59"/>
  <c r="AT430" i="59"/>
  <c r="E458" i="59"/>
  <c r="AT424" i="59"/>
  <c r="AS424" i="59"/>
  <c r="AT423" i="59"/>
  <c r="E451" i="59"/>
  <c r="AS423" i="59"/>
  <c r="C451" i="59"/>
  <c r="U107" i="59"/>
  <c r="V110" i="59"/>
  <c r="U119" i="59"/>
  <c r="V116" i="59"/>
  <c r="V118" i="59"/>
  <c r="V105" i="59"/>
  <c r="V104" i="59"/>
  <c r="U100" i="59"/>
  <c r="AQ93" i="59"/>
  <c r="AR89" i="59"/>
  <c r="AR81" i="59"/>
  <c r="AR88" i="59"/>
  <c r="AR80" i="59"/>
  <c r="U112" i="59"/>
  <c r="V112" i="59"/>
  <c r="V109" i="59"/>
  <c r="U109" i="59"/>
  <c r="V117" i="59"/>
  <c r="U115" i="59"/>
  <c r="U102" i="59"/>
  <c r="U104" i="59"/>
  <c r="U103" i="59"/>
  <c r="V106" i="59"/>
  <c r="AR87" i="59"/>
  <c r="AR79" i="59"/>
  <c r="AR94" i="59"/>
  <c r="AR78" i="59"/>
  <c r="U108" i="59"/>
  <c r="U111" i="59"/>
  <c r="R100" i="59"/>
  <c r="V114" i="59"/>
  <c r="V113" i="59"/>
  <c r="V107" i="59"/>
  <c r="U110" i="59"/>
  <c r="U117" i="59"/>
  <c r="V119" i="59"/>
  <c r="U106" i="59"/>
  <c r="U105" i="59"/>
  <c r="V102" i="59"/>
  <c r="V100" i="59"/>
  <c r="AR85" i="59"/>
  <c r="AR77" i="59"/>
  <c r="AR92" i="59"/>
  <c r="AR84" i="59"/>
  <c r="AR76" i="59"/>
  <c r="U113" i="59"/>
  <c r="V108" i="59"/>
  <c r="V111" i="59"/>
  <c r="U114" i="59"/>
  <c r="V115" i="59"/>
  <c r="U116" i="59"/>
  <c r="U118" i="59"/>
  <c r="V101" i="59"/>
  <c r="U101" i="59"/>
  <c r="V103" i="59"/>
  <c r="H89" i="22" s="1"/>
  <c r="AR75" i="59"/>
  <c r="AR91" i="59"/>
  <c r="AD77" i="59"/>
  <c r="AD79" i="59"/>
  <c r="AD81" i="59"/>
  <c r="AD83" i="59"/>
  <c r="AD85" i="59"/>
  <c r="AD87" i="59"/>
  <c r="AD89" i="59"/>
  <c r="AD91" i="59"/>
  <c r="AD93" i="59"/>
  <c r="AE77" i="59"/>
  <c r="AE79" i="59"/>
  <c r="AE81" i="59"/>
  <c r="AE83" i="59"/>
  <c r="AE85" i="59"/>
  <c r="AE87" i="59"/>
  <c r="AE89" i="59"/>
  <c r="AE91" i="59"/>
  <c r="AE93" i="59"/>
  <c r="AE76" i="59"/>
  <c r="AE78" i="59"/>
  <c r="AE80" i="59"/>
  <c r="AE82" i="59"/>
  <c r="AE84" i="59"/>
  <c r="AE86" i="59"/>
  <c r="AE88" i="59"/>
  <c r="AE90" i="59"/>
  <c r="AE92" i="59"/>
  <c r="AE94" i="59"/>
  <c r="AD76" i="59"/>
  <c r="AD78" i="59"/>
  <c r="AD80" i="59"/>
  <c r="AD82" i="59"/>
  <c r="AD84" i="59"/>
  <c r="AD86" i="59"/>
  <c r="AD88" i="59"/>
  <c r="AD90" i="59"/>
  <c r="AD92" i="59"/>
  <c r="AD94" i="59"/>
  <c r="AQ82" i="59"/>
  <c r="AQ90" i="59"/>
  <c r="AQ80" i="59"/>
  <c r="AQ77" i="59"/>
  <c r="AQ79" i="59"/>
  <c r="AQ78" i="59"/>
  <c r="AQ86" i="59"/>
  <c r="AQ87" i="59"/>
  <c r="AQ76" i="59"/>
  <c r="AQ85" i="59"/>
  <c r="AQ81" i="59"/>
  <c r="AQ88" i="59"/>
  <c r="AT75" i="59"/>
  <c r="AT78" i="59"/>
  <c r="AT80" i="59"/>
  <c r="AT81" i="59"/>
  <c r="AT76" i="59"/>
  <c r="AT77" i="59"/>
  <c r="AT79" i="59"/>
  <c r="AO75" i="59"/>
  <c r="K100" i="59" s="1"/>
  <c r="AP75" i="59"/>
  <c r="L100" i="59" s="1"/>
  <c r="AS80" i="59"/>
  <c r="AS76" i="59"/>
  <c r="AS78" i="59"/>
  <c r="AS81" i="59"/>
  <c r="AS77" i="59"/>
  <c r="AS79" i="59"/>
  <c r="AS75" i="59"/>
  <c r="AP89" i="59"/>
  <c r="L114" i="59" s="1"/>
  <c r="AP86" i="59"/>
  <c r="L111" i="59" s="1"/>
  <c r="AO86" i="59"/>
  <c r="K111" i="59" s="1"/>
  <c r="AP79" i="59"/>
  <c r="L104" i="59" s="1"/>
  <c r="AP84" i="59"/>
  <c r="L109" i="59" s="1"/>
  <c r="AO78" i="59"/>
  <c r="K103" i="59" s="1"/>
  <c r="AP81" i="59"/>
  <c r="L106" i="59" s="1"/>
  <c r="AO87" i="59"/>
  <c r="K112" i="59" s="1"/>
  <c r="AO82" i="59"/>
  <c r="K107" i="59" s="1"/>
  <c r="AO89" i="59"/>
  <c r="K114" i="59" s="1"/>
  <c r="AP80" i="59"/>
  <c r="L105" i="59" s="1"/>
  <c r="AO84" i="59"/>
  <c r="K109" i="59" s="1"/>
  <c r="AP85" i="59"/>
  <c r="L110" i="59" s="1"/>
  <c r="AP82" i="59"/>
  <c r="L107" i="59" s="1"/>
  <c r="AO80" i="59"/>
  <c r="K105" i="59" s="1"/>
  <c r="AO76" i="59"/>
  <c r="K101" i="59" s="1"/>
  <c r="AP77" i="59"/>
  <c r="L102" i="59" s="1"/>
  <c r="AO83" i="59"/>
  <c r="K108" i="59" s="1"/>
  <c r="AP87" i="59"/>
  <c r="L112" i="59" s="1"/>
  <c r="AO77" i="59"/>
  <c r="K102" i="59" s="1"/>
  <c r="AO85" i="59"/>
  <c r="K110" i="59" s="1"/>
  <c r="AO79" i="59"/>
  <c r="K104" i="59" s="1"/>
  <c r="AP83" i="59"/>
  <c r="L108" i="59" s="1"/>
  <c r="AP76" i="59"/>
  <c r="L101" i="59" s="1"/>
  <c r="AO88" i="59"/>
  <c r="K113" i="59" s="1"/>
  <c r="AP78" i="59"/>
  <c r="L103" i="59" s="1"/>
  <c r="AO81" i="59"/>
  <c r="K106" i="59" s="1"/>
  <c r="AP88" i="59"/>
  <c r="L113" i="59" s="1"/>
  <c r="AS92" i="59"/>
  <c r="AO93" i="59"/>
  <c r="K118" i="59" s="1"/>
  <c r="AS91" i="59"/>
  <c r="AT94" i="59"/>
  <c r="AP93" i="59"/>
  <c r="L118" i="59" s="1"/>
  <c r="AS94" i="59"/>
  <c r="AS93" i="59"/>
  <c r="AT93" i="59"/>
  <c r="AP92" i="59"/>
  <c r="L117" i="59" s="1"/>
  <c r="AO92" i="59"/>
  <c r="K117" i="59" s="1"/>
  <c r="AS90" i="59"/>
  <c r="AT91" i="59"/>
  <c r="AO90" i="59"/>
  <c r="K115" i="59" s="1"/>
  <c r="AP91" i="59"/>
  <c r="L116" i="59" s="1"/>
  <c r="AP90" i="59"/>
  <c r="L115" i="59" s="1"/>
  <c r="AT92" i="59"/>
  <c r="AT90" i="59"/>
  <c r="AO91" i="59"/>
  <c r="K116" i="59" s="1"/>
  <c r="AO94" i="59"/>
  <c r="K119" i="59" s="1"/>
  <c r="AP94" i="59"/>
  <c r="L119" i="59" s="1"/>
  <c r="AS82" i="59"/>
  <c r="AT83" i="59"/>
  <c r="AS86" i="59"/>
  <c r="AT87" i="59"/>
  <c r="AT86" i="59"/>
  <c r="AT84" i="59"/>
  <c r="AS87" i="59"/>
  <c r="AS83" i="59"/>
  <c r="AS89" i="59"/>
  <c r="AT82" i="59"/>
  <c r="AT89" i="59"/>
  <c r="AT85" i="59"/>
  <c r="AT88" i="59"/>
  <c r="AS88" i="59"/>
  <c r="AS85" i="59"/>
  <c r="AS84" i="59"/>
  <c r="H99" i="22" l="1"/>
  <c r="I47" i="22"/>
  <c r="AU438" i="59"/>
  <c r="AU426" i="59"/>
  <c r="AU441" i="59"/>
  <c r="AU428" i="59"/>
  <c r="AU433" i="59"/>
  <c r="H104" i="22"/>
  <c r="AU437" i="59"/>
  <c r="AU430" i="59"/>
  <c r="AU435" i="59"/>
  <c r="B450" i="59"/>
  <c r="AS422" i="59"/>
  <c r="AU422" i="59" s="1"/>
  <c r="AU440" i="59"/>
  <c r="AU425" i="59"/>
  <c r="AU434" i="59"/>
  <c r="AU423" i="59"/>
  <c r="AU424" i="59"/>
  <c r="AU439" i="59"/>
  <c r="AU432" i="59"/>
  <c r="AU431" i="59"/>
  <c r="AU427" i="59"/>
  <c r="AU429" i="59"/>
  <c r="AU436" i="59"/>
  <c r="H101" i="22"/>
  <c r="I37" i="22"/>
  <c r="I35" i="22"/>
  <c r="H103" i="22"/>
  <c r="H102" i="22"/>
  <c r="H94" i="22"/>
  <c r="H92" i="22"/>
  <c r="I40" i="22"/>
  <c r="I38" i="22"/>
  <c r="I45" i="22"/>
  <c r="H86" i="22"/>
  <c r="I36" i="22"/>
  <c r="I50" i="22"/>
  <c r="I33" i="22"/>
  <c r="H91" i="22"/>
  <c r="H96" i="22"/>
  <c r="I49" i="22"/>
  <c r="H88" i="22"/>
  <c r="H100" i="22"/>
  <c r="H87" i="22"/>
  <c r="I44" i="22"/>
  <c r="I41" i="22"/>
  <c r="I39" i="22"/>
  <c r="H95" i="22"/>
  <c r="H98" i="22"/>
  <c r="I46" i="22"/>
  <c r="I48" i="22"/>
  <c r="I52" i="22"/>
  <c r="H93" i="22"/>
  <c r="I34" i="22"/>
  <c r="I51" i="22"/>
  <c r="I43" i="22"/>
  <c r="H105" i="22"/>
  <c r="H90" i="22"/>
  <c r="I42" i="22"/>
  <c r="H97" i="22"/>
  <c r="O115" i="59"/>
  <c r="O114" i="59"/>
  <c r="O107" i="59"/>
  <c r="O117" i="59"/>
  <c r="O106" i="59"/>
  <c r="P101" i="59"/>
  <c r="P100" i="59"/>
  <c r="AX75" i="59"/>
  <c r="O109" i="59"/>
  <c r="O108" i="59"/>
  <c r="O100" i="59"/>
  <c r="O103" i="59"/>
  <c r="M100" i="59"/>
  <c r="M107" i="59"/>
  <c r="N107" i="59"/>
  <c r="N108" i="59"/>
  <c r="N100" i="59"/>
  <c r="N101" i="59"/>
  <c r="N117" i="59"/>
  <c r="N110" i="59"/>
  <c r="M114" i="59"/>
  <c r="N103" i="59"/>
  <c r="N119" i="59"/>
  <c r="N112" i="59"/>
  <c r="N113" i="59"/>
  <c r="N114" i="59"/>
  <c r="O110" i="59"/>
  <c r="O112" i="59"/>
  <c r="O111" i="59"/>
  <c r="O118" i="59"/>
  <c r="O116" i="59"/>
  <c r="O104" i="59"/>
  <c r="O101" i="59"/>
  <c r="M116" i="59"/>
  <c r="O113" i="59"/>
  <c r="O119" i="59"/>
  <c r="O102" i="59"/>
  <c r="O105" i="59"/>
  <c r="N115" i="59"/>
  <c r="N116" i="59"/>
  <c r="M119" i="59"/>
  <c r="N109" i="59"/>
  <c r="N102" i="59"/>
  <c r="N118" i="59"/>
  <c r="N111" i="59"/>
  <c r="N104" i="59"/>
  <c r="N105" i="59"/>
  <c r="N106" i="59"/>
  <c r="M118" i="59"/>
  <c r="P113" i="59"/>
  <c r="P110" i="59"/>
  <c r="P114" i="59"/>
  <c r="P107" i="59"/>
  <c r="P109" i="59"/>
  <c r="P111" i="59"/>
  <c r="P112" i="59"/>
  <c r="P108" i="59"/>
  <c r="P115" i="59"/>
  <c r="P117" i="59"/>
  <c r="P116" i="59"/>
  <c r="P118" i="59"/>
  <c r="P119" i="59"/>
  <c r="P104" i="59"/>
  <c r="P102" i="59"/>
  <c r="P106" i="59"/>
  <c r="P105" i="59"/>
  <c r="P103" i="59"/>
  <c r="M106" i="59"/>
  <c r="M101" i="59"/>
  <c r="M103" i="59"/>
  <c r="M102" i="59"/>
  <c r="M115" i="59"/>
  <c r="M109" i="59"/>
  <c r="M112" i="59"/>
  <c r="M104" i="59"/>
  <c r="M111" i="59"/>
  <c r="M113" i="59"/>
  <c r="M110" i="59"/>
  <c r="M108" i="59"/>
  <c r="M117" i="59"/>
  <c r="M105" i="59"/>
  <c r="AX77" i="59"/>
  <c r="AX80" i="59"/>
  <c r="L455" i="59" s="1"/>
  <c r="AX81" i="59"/>
  <c r="L456" i="59" s="1"/>
  <c r="AX78" i="59"/>
  <c r="L453" i="59" s="1"/>
  <c r="AX79" i="59"/>
  <c r="L454" i="59" s="1"/>
  <c r="AX76" i="59"/>
  <c r="AW76" i="59"/>
  <c r="AW77" i="59"/>
  <c r="AW80" i="59"/>
  <c r="AW75" i="59"/>
  <c r="AW81" i="59"/>
  <c r="AW78" i="59"/>
  <c r="AW79" i="59"/>
  <c r="AW93" i="59"/>
  <c r="AX91" i="59"/>
  <c r="AX92" i="59"/>
  <c r="AW91" i="59"/>
  <c r="AX93" i="59"/>
  <c r="AW90" i="59"/>
  <c r="AX90" i="59"/>
  <c r="AW94" i="59"/>
  <c r="AW92" i="59"/>
  <c r="AX94" i="59"/>
  <c r="AW87" i="59"/>
  <c r="AW86" i="59"/>
  <c r="AX84" i="59"/>
  <c r="L459" i="59" s="1"/>
  <c r="M459" i="59" s="1"/>
  <c r="AX88" i="59"/>
  <c r="L463" i="59" s="1"/>
  <c r="AW84" i="59"/>
  <c r="AX85" i="59"/>
  <c r="AX89" i="59"/>
  <c r="L464" i="59" s="1"/>
  <c r="AW88" i="59"/>
  <c r="AX86" i="59"/>
  <c r="AW85" i="59"/>
  <c r="AW82" i="59"/>
  <c r="AW89" i="59"/>
  <c r="AX82" i="59"/>
  <c r="AX83" i="59"/>
  <c r="L458" i="59" s="1"/>
  <c r="AX87" i="59"/>
  <c r="AW83" i="59"/>
  <c r="K76" i="22" l="1"/>
  <c r="I130" i="22"/>
  <c r="BR61" i="61" s="1"/>
  <c r="K70" i="22"/>
  <c r="I124" i="22"/>
  <c r="BR55" i="61" s="1"/>
  <c r="K67" i="22"/>
  <c r="I121" i="22"/>
  <c r="BR52" i="61" s="1"/>
  <c r="K65" i="22"/>
  <c r="I119" i="22"/>
  <c r="BR50" i="61" s="1"/>
  <c r="K78" i="22"/>
  <c r="I132" i="22"/>
  <c r="BR63" i="61" s="1"/>
  <c r="K61" i="22"/>
  <c r="I115" i="22"/>
  <c r="BR46" i="61" s="1"/>
  <c r="K68" i="22"/>
  <c r="I122" i="22"/>
  <c r="BR53" i="61" s="1"/>
  <c r="K60" i="22"/>
  <c r="I114" i="22"/>
  <c r="BR45" i="61" s="1"/>
  <c r="W78" i="61" s="1"/>
  <c r="K66" i="22"/>
  <c r="I120" i="22"/>
  <c r="BR51" i="61" s="1"/>
  <c r="K71" i="22"/>
  <c r="I125" i="22"/>
  <c r="BR56" i="61" s="1"/>
  <c r="K77" i="22"/>
  <c r="I131" i="22"/>
  <c r="BR62" i="61" s="1"/>
  <c r="K79" i="22"/>
  <c r="I133" i="22"/>
  <c r="BR64" i="61" s="1"/>
  <c r="K63" i="22"/>
  <c r="I117" i="22"/>
  <c r="BR48" i="61" s="1"/>
  <c r="K69" i="22"/>
  <c r="I123" i="22"/>
  <c r="BR54" i="61" s="1"/>
  <c r="K75" i="22"/>
  <c r="I129" i="22"/>
  <c r="BR60" i="61" s="1"/>
  <c r="K62" i="22"/>
  <c r="I116" i="22"/>
  <c r="BR47" i="61" s="1"/>
  <c r="K73" i="22"/>
  <c r="I127" i="22"/>
  <c r="BR58" i="61" s="1"/>
  <c r="K72" i="22"/>
  <c r="I126" i="22"/>
  <c r="BR57" i="61" s="1"/>
  <c r="K64" i="22"/>
  <c r="I118" i="22"/>
  <c r="BR49" i="61" s="1"/>
  <c r="K74" i="22"/>
  <c r="I128" i="22"/>
  <c r="BR59" i="61" s="1"/>
  <c r="H107" i="22"/>
  <c r="C443" i="59"/>
  <c r="D104" i="22"/>
  <c r="F86" i="22"/>
  <c r="F87" i="22"/>
  <c r="D86" i="22"/>
  <c r="D34" i="22"/>
  <c r="D87" i="22"/>
  <c r="D42" i="22"/>
  <c r="D46" i="22"/>
  <c r="D41" i="22"/>
  <c r="E96" i="22"/>
  <c r="E98" i="22"/>
  <c r="E89" i="22"/>
  <c r="F91" i="22"/>
  <c r="F95" i="22"/>
  <c r="E103" i="22"/>
  <c r="E97" i="22"/>
  <c r="E101" i="22"/>
  <c r="F88" i="22"/>
  <c r="F102" i="22"/>
  <c r="F98" i="22"/>
  <c r="F100" i="22"/>
  <c r="D52" i="22"/>
  <c r="G34" i="22"/>
  <c r="G33" i="22"/>
  <c r="E86" i="22"/>
  <c r="D103" i="22"/>
  <c r="D47" i="22"/>
  <c r="D37" i="22"/>
  <c r="D45" i="22"/>
  <c r="E94" i="22"/>
  <c r="E90" i="22"/>
  <c r="E88" i="22"/>
  <c r="F89" i="22"/>
  <c r="F90" i="22"/>
  <c r="F103" i="22"/>
  <c r="F97" i="22"/>
  <c r="F96" i="22"/>
  <c r="E33" i="22"/>
  <c r="L452" i="59"/>
  <c r="M452" i="59" s="1"/>
  <c r="D44" i="22"/>
  <c r="F105" i="22"/>
  <c r="F101" i="22"/>
  <c r="F99" i="22"/>
  <c r="F92" i="22"/>
  <c r="F104" i="22"/>
  <c r="F94" i="22"/>
  <c r="F93" i="22"/>
  <c r="D50" i="22"/>
  <c r="D102" i="22"/>
  <c r="E40" i="22"/>
  <c r="D105" i="22"/>
  <c r="E49" i="22"/>
  <c r="D101" i="22"/>
  <c r="D40" i="22"/>
  <c r="D49" i="22"/>
  <c r="D33" i="22"/>
  <c r="D36" i="22"/>
  <c r="D35" i="22"/>
  <c r="D38" i="22"/>
  <c r="E92" i="22"/>
  <c r="D48" i="22"/>
  <c r="D43" i="22"/>
  <c r="D39" i="22"/>
  <c r="E91" i="22"/>
  <c r="E99" i="22"/>
  <c r="E95" i="22"/>
  <c r="E87" i="22"/>
  <c r="D51" i="22"/>
  <c r="E93" i="22"/>
  <c r="S108" i="59"/>
  <c r="V135" i="59" s="1"/>
  <c r="S114" i="59"/>
  <c r="U141" i="59" s="1"/>
  <c r="J464" i="59"/>
  <c r="S115" i="59"/>
  <c r="J465" i="59"/>
  <c r="T116" i="59"/>
  <c r="W143" i="59" s="1"/>
  <c r="S101" i="59"/>
  <c r="V128" i="59" s="1"/>
  <c r="S110" i="59"/>
  <c r="J460" i="59"/>
  <c r="K460" i="59" s="1"/>
  <c r="T110" i="59"/>
  <c r="S111" i="59"/>
  <c r="S119" i="59"/>
  <c r="J469" i="59"/>
  <c r="S116" i="59"/>
  <c r="G102" i="22" s="1"/>
  <c r="S104" i="59"/>
  <c r="V131" i="59" s="1"/>
  <c r="S105" i="59"/>
  <c r="V132" i="59" s="1"/>
  <c r="J455" i="59"/>
  <c r="T107" i="59"/>
  <c r="X134" i="59" s="1"/>
  <c r="T111" i="59"/>
  <c r="S109" i="59"/>
  <c r="S112" i="59"/>
  <c r="J462" i="59"/>
  <c r="K462" i="59" s="1"/>
  <c r="T115" i="59"/>
  <c r="X142" i="59" s="1"/>
  <c r="T117" i="59"/>
  <c r="X144" i="59" s="1"/>
  <c r="S103" i="59"/>
  <c r="V130" i="59" s="1"/>
  <c r="S102" i="59"/>
  <c r="J452" i="59"/>
  <c r="K452" i="59" s="1"/>
  <c r="E104" i="22"/>
  <c r="E51" i="22"/>
  <c r="E52" i="22"/>
  <c r="E105" i="22"/>
  <c r="E100" i="22"/>
  <c r="E47" i="22"/>
  <c r="T100" i="59"/>
  <c r="S113" i="59"/>
  <c r="V140" i="59" s="1"/>
  <c r="T119" i="59"/>
  <c r="W146" i="59" s="1"/>
  <c r="S106" i="59"/>
  <c r="U133" i="59" s="1"/>
  <c r="J456" i="59"/>
  <c r="T112" i="59"/>
  <c r="S107" i="59"/>
  <c r="V134" i="59" s="1"/>
  <c r="S117" i="59"/>
  <c r="V144" i="59" s="1"/>
  <c r="J467" i="59"/>
  <c r="T118" i="59"/>
  <c r="X145" i="59" s="1"/>
  <c r="S118" i="59"/>
  <c r="V145" i="59" s="1"/>
  <c r="S100" i="59"/>
  <c r="T101" i="59"/>
  <c r="W128" i="59" s="1"/>
  <c r="E102" i="22"/>
  <c r="D93" i="22"/>
  <c r="D89" i="22"/>
  <c r="D88" i="22"/>
  <c r="D91" i="22"/>
  <c r="D94" i="22"/>
  <c r="D90" i="22"/>
  <c r="D97" i="22"/>
  <c r="D98" i="22"/>
  <c r="D96" i="22"/>
  <c r="D95" i="22"/>
  <c r="D99" i="22"/>
  <c r="D100" i="22"/>
  <c r="D92" i="22"/>
  <c r="G51" i="22"/>
  <c r="G40" i="22"/>
  <c r="G52" i="22"/>
  <c r="G42" i="22"/>
  <c r="G36" i="22"/>
  <c r="G37" i="22"/>
  <c r="G50" i="22"/>
  <c r="G44" i="22"/>
  <c r="G43" i="22"/>
  <c r="G39" i="22"/>
  <c r="G41" i="22"/>
  <c r="G38" i="22"/>
  <c r="G48" i="22"/>
  <c r="G46" i="22"/>
  <c r="G35" i="22"/>
  <c r="G49" i="22"/>
  <c r="G45" i="22"/>
  <c r="G47" i="22"/>
  <c r="E41" i="22"/>
  <c r="E35" i="22"/>
  <c r="E50" i="22"/>
  <c r="E48" i="22"/>
  <c r="E39" i="22"/>
  <c r="E38" i="22"/>
  <c r="E46" i="22"/>
  <c r="E42" i="22"/>
  <c r="E34" i="22"/>
  <c r="E37" i="22"/>
  <c r="E44" i="22"/>
  <c r="E43" i="22"/>
  <c r="E45" i="22"/>
  <c r="E36" i="22"/>
  <c r="T108" i="59"/>
  <c r="T114" i="59"/>
  <c r="T113" i="59"/>
  <c r="T109" i="59"/>
  <c r="T104" i="59"/>
  <c r="T103" i="59"/>
  <c r="T106" i="59"/>
  <c r="T105" i="59"/>
  <c r="T102" i="59"/>
  <c r="G71" i="22" l="1"/>
  <c r="E125" i="22"/>
  <c r="BM56" i="61" s="1"/>
  <c r="I63" i="22"/>
  <c r="G117" i="22"/>
  <c r="BQ48" i="61" s="1"/>
  <c r="F70" i="22"/>
  <c r="D124" i="22"/>
  <c r="BO55" i="61" s="1"/>
  <c r="F79" i="22"/>
  <c r="D133" i="22"/>
  <c r="BO64" i="61" s="1"/>
  <c r="G62" i="22"/>
  <c r="E116" i="22"/>
  <c r="BM47" i="61" s="1"/>
  <c r="I65" i="22"/>
  <c r="G119" i="22"/>
  <c r="BQ50" i="61" s="1"/>
  <c r="I69" i="22"/>
  <c r="G123" i="22"/>
  <c r="BQ54" i="61" s="1"/>
  <c r="F75" i="22"/>
  <c r="D129" i="22"/>
  <c r="BO60" i="61" s="1"/>
  <c r="F72" i="22"/>
  <c r="D126" i="22"/>
  <c r="BO57" i="61" s="1"/>
  <c r="F61" i="22"/>
  <c r="D115" i="22"/>
  <c r="BO46" i="61" s="1"/>
  <c r="G64" i="22"/>
  <c r="E118" i="22"/>
  <c r="BM49" i="61" s="1"/>
  <c r="G61" i="22"/>
  <c r="E115" i="22"/>
  <c r="BM46" i="61" s="1"/>
  <c r="G68" i="22"/>
  <c r="E122" i="22"/>
  <c r="BM53" i="61" s="1"/>
  <c r="I68" i="22"/>
  <c r="G122" i="22"/>
  <c r="BQ53" i="61" s="1"/>
  <c r="I79" i="22"/>
  <c r="G133" i="22"/>
  <c r="BQ64" i="61" s="1"/>
  <c r="F78" i="22"/>
  <c r="D132" i="22"/>
  <c r="BO63" i="61" s="1"/>
  <c r="G76" i="22"/>
  <c r="E130" i="22"/>
  <c r="BM61" i="61" s="1"/>
  <c r="F64" i="22"/>
  <c r="D118" i="22"/>
  <c r="BO49" i="61" s="1"/>
  <c r="I75" i="22"/>
  <c r="G129" i="22"/>
  <c r="BQ60" i="61" s="1"/>
  <c r="G74" i="22"/>
  <c r="E128" i="22"/>
  <c r="BM59" i="61" s="1"/>
  <c r="F67" i="22"/>
  <c r="D121" i="22"/>
  <c r="BO52" i="61" s="1"/>
  <c r="G69" i="22"/>
  <c r="E123" i="22"/>
  <c r="BM54" i="61" s="1"/>
  <c r="I66" i="22"/>
  <c r="G120" i="22"/>
  <c r="BQ51" i="61" s="1"/>
  <c r="I67" i="22"/>
  <c r="G121" i="22"/>
  <c r="BQ52" i="61" s="1"/>
  <c r="G79" i="22"/>
  <c r="E133" i="22"/>
  <c r="BM64" i="61" s="1"/>
  <c r="F65" i="22"/>
  <c r="D119" i="22"/>
  <c r="BO50" i="61" s="1"/>
  <c r="F74" i="22"/>
  <c r="D128" i="22"/>
  <c r="BO59" i="61" s="1"/>
  <c r="G60" i="22"/>
  <c r="E114" i="22"/>
  <c r="BM45" i="61" s="1"/>
  <c r="R78" i="61" s="1"/>
  <c r="I74" i="22"/>
  <c r="G128" i="22"/>
  <c r="BQ59" i="61" s="1"/>
  <c r="G73" i="22"/>
  <c r="E127" i="22"/>
  <c r="BM58" i="61" s="1"/>
  <c r="I72" i="22"/>
  <c r="G126" i="22"/>
  <c r="BQ57" i="61" s="1"/>
  <c r="I70" i="22"/>
  <c r="G124" i="22"/>
  <c r="BQ55" i="61" s="1"/>
  <c r="I78" i="22"/>
  <c r="G132" i="22"/>
  <c r="BQ63" i="61" s="1"/>
  <c r="G78" i="22"/>
  <c r="E132" i="22"/>
  <c r="BM63" i="61" s="1"/>
  <c r="F62" i="22"/>
  <c r="D116" i="22"/>
  <c r="BO47" i="61" s="1"/>
  <c r="G67" i="22"/>
  <c r="E121" i="22"/>
  <c r="BM52" i="61" s="1"/>
  <c r="G63" i="22"/>
  <c r="E117" i="22"/>
  <c r="BM48" i="61" s="1"/>
  <c r="G65" i="22"/>
  <c r="E119" i="22"/>
  <c r="BM50" i="61" s="1"/>
  <c r="I76" i="22"/>
  <c r="G130" i="22"/>
  <c r="BQ61" i="61" s="1"/>
  <c r="I71" i="22"/>
  <c r="G125" i="22"/>
  <c r="BQ56" i="61" s="1"/>
  <c r="F63" i="22"/>
  <c r="D117" i="22"/>
  <c r="BO48" i="61" s="1"/>
  <c r="F68" i="22"/>
  <c r="D122" i="22"/>
  <c r="BO53" i="61" s="1"/>
  <c r="G66" i="22"/>
  <c r="E120" i="22"/>
  <c r="BM51" i="61" s="1"/>
  <c r="I62" i="22"/>
  <c r="G116" i="22"/>
  <c r="BQ47" i="61" s="1"/>
  <c r="I77" i="22"/>
  <c r="G131" i="22"/>
  <c r="BQ62" i="61" s="1"/>
  <c r="F60" i="22"/>
  <c r="D114" i="22"/>
  <c r="BO45" i="61" s="1"/>
  <c r="T78" i="61" s="1"/>
  <c r="F77" i="22"/>
  <c r="D131" i="22"/>
  <c r="BO62" i="61" s="1"/>
  <c r="F71" i="22"/>
  <c r="D125" i="22"/>
  <c r="BO56" i="61" s="1"/>
  <c r="I60" i="22"/>
  <c r="G114" i="22"/>
  <c r="BQ45" i="61" s="1"/>
  <c r="F73" i="22"/>
  <c r="D127" i="22"/>
  <c r="BO58" i="61" s="1"/>
  <c r="G77" i="22"/>
  <c r="E131" i="22"/>
  <c r="BM62" i="61" s="1"/>
  <c r="G72" i="22"/>
  <c r="E126" i="22"/>
  <c r="BM57" i="61" s="1"/>
  <c r="G70" i="22"/>
  <c r="E124" i="22"/>
  <c r="BM55" i="61" s="1"/>
  <c r="G75" i="22"/>
  <c r="E129" i="22"/>
  <c r="BM60" i="61" s="1"/>
  <c r="I73" i="22"/>
  <c r="G127" i="22"/>
  <c r="BQ58" i="61" s="1"/>
  <c r="I64" i="22"/>
  <c r="G118" i="22"/>
  <c r="BQ49" i="61" s="1"/>
  <c r="F66" i="22"/>
  <c r="D120" i="22"/>
  <c r="BO51" i="61" s="1"/>
  <c r="F76" i="22"/>
  <c r="D130" i="22"/>
  <c r="BO61" i="61" s="1"/>
  <c r="I61" i="22"/>
  <c r="G115" i="22"/>
  <c r="BQ46" i="61" s="1"/>
  <c r="F69" i="22"/>
  <c r="D123" i="22"/>
  <c r="BO54" i="61" s="1"/>
  <c r="F107" i="22"/>
  <c r="E107" i="22"/>
  <c r="D107" i="22"/>
  <c r="J45" i="22"/>
  <c r="J126" i="22" s="1"/>
  <c r="J450" i="59"/>
  <c r="K450" i="59" s="1"/>
  <c r="L450" i="59"/>
  <c r="M450" i="59" s="1"/>
  <c r="U145" i="59"/>
  <c r="U136" i="59"/>
  <c r="V136" i="59" s="1"/>
  <c r="W145" i="59"/>
  <c r="H52" i="22"/>
  <c r="U138" i="59"/>
  <c r="V138" i="59" s="1"/>
  <c r="U129" i="59"/>
  <c r="V129" i="59" s="1"/>
  <c r="AC101" i="59"/>
  <c r="X143" i="59"/>
  <c r="U132" i="59"/>
  <c r="J44" i="22"/>
  <c r="J125" i="22" s="1"/>
  <c r="W138" i="59"/>
  <c r="X138" i="59" s="1"/>
  <c r="J34" i="22"/>
  <c r="J115" i="22" s="1"/>
  <c r="X146" i="59"/>
  <c r="G98" i="22"/>
  <c r="G103" i="22"/>
  <c r="G96" i="22"/>
  <c r="H47" i="22"/>
  <c r="W139" i="59"/>
  <c r="X139" i="59" s="1"/>
  <c r="W144" i="59"/>
  <c r="U139" i="59"/>
  <c r="V139" i="59" s="1"/>
  <c r="H44" i="22"/>
  <c r="J40" i="22"/>
  <c r="J121" i="22" s="1"/>
  <c r="H38" i="22"/>
  <c r="J42" i="22"/>
  <c r="J123" i="22" s="1"/>
  <c r="U137" i="59"/>
  <c r="V137" i="59" s="1"/>
  <c r="H40" i="22"/>
  <c r="H49" i="22"/>
  <c r="AC116" i="59"/>
  <c r="J49" i="22"/>
  <c r="J130" i="22" s="1"/>
  <c r="V141" i="59"/>
  <c r="V143" i="59"/>
  <c r="H50" i="22"/>
  <c r="J50" i="22"/>
  <c r="J131" i="22" s="1"/>
  <c r="L468" i="59"/>
  <c r="L465" i="59"/>
  <c r="L457" i="59"/>
  <c r="L460" i="59"/>
  <c r="M460" i="59" s="1"/>
  <c r="J457" i="59"/>
  <c r="J461" i="59"/>
  <c r="K461" i="59" s="1"/>
  <c r="J458" i="59"/>
  <c r="J453" i="59"/>
  <c r="J468" i="59"/>
  <c r="G104" i="22"/>
  <c r="G105" i="22"/>
  <c r="G101" i="22"/>
  <c r="J463" i="59"/>
  <c r="J459" i="59"/>
  <c r="K459" i="59" s="1"/>
  <c r="J466" i="59"/>
  <c r="J451" i="59"/>
  <c r="H51" i="22"/>
  <c r="AC117" i="59"/>
  <c r="X128" i="59"/>
  <c r="V133" i="59"/>
  <c r="L462" i="59"/>
  <c r="M462" i="59" s="1"/>
  <c r="L469" i="59"/>
  <c r="L467" i="59"/>
  <c r="L461" i="59"/>
  <c r="M461" i="59" s="1"/>
  <c r="L466" i="59"/>
  <c r="L451" i="59"/>
  <c r="G97" i="22"/>
  <c r="J454" i="59"/>
  <c r="W127" i="59"/>
  <c r="X127" i="59" s="1"/>
  <c r="J33" i="22"/>
  <c r="J114" i="22" s="1"/>
  <c r="U127" i="59"/>
  <c r="V127" i="59" s="1"/>
  <c r="H33" i="22"/>
  <c r="H39" i="22"/>
  <c r="H46" i="22"/>
  <c r="W142" i="59"/>
  <c r="U128" i="59"/>
  <c r="U146" i="59"/>
  <c r="U134" i="59"/>
  <c r="H34" i="22"/>
  <c r="U131" i="59"/>
  <c r="AC110" i="59"/>
  <c r="AC115" i="59"/>
  <c r="AC119" i="59"/>
  <c r="J43" i="22"/>
  <c r="J124" i="22" s="1"/>
  <c r="J48" i="22"/>
  <c r="J129" i="22" s="1"/>
  <c r="H36" i="22"/>
  <c r="W134" i="59"/>
  <c r="U140" i="59"/>
  <c r="H43" i="22"/>
  <c r="H48" i="22"/>
  <c r="AC107" i="59"/>
  <c r="AC118" i="59"/>
  <c r="G93" i="22"/>
  <c r="G87" i="22"/>
  <c r="V142" i="59"/>
  <c r="V146" i="59"/>
  <c r="H35" i="22"/>
  <c r="H37" i="22"/>
  <c r="H41" i="22"/>
  <c r="W137" i="59"/>
  <c r="X137" i="59" s="1"/>
  <c r="U144" i="59"/>
  <c r="H45" i="22"/>
  <c r="U135" i="59"/>
  <c r="U143" i="59"/>
  <c r="U130" i="59"/>
  <c r="U142" i="59"/>
  <c r="AC111" i="59"/>
  <c r="AC112" i="59"/>
  <c r="J52" i="22"/>
  <c r="J133" i="22" s="1"/>
  <c r="J51" i="22"/>
  <c r="J132" i="22" s="1"/>
  <c r="AC100" i="59"/>
  <c r="G86" i="22"/>
  <c r="G100" i="22"/>
  <c r="G89" i="22"/>
  <c r="G95" i="22"/>
  <c r="G90" i="22"/>
  <c r="G92" i="22"/>
  <c r="G99" i="22"/>
  <c r="G94" i="22"/>
  <c r="G88" i="22"/>
  <c r="G91" i="22"/>
  <c r="X135" i="59"/>
  <c r="X130" i="59"/>
  <c r="X141" i="59"/>
  <c r="X140" i="59"/>
  <c r="X132" i="59"/>
  <c r="X133" i="59"/>
  <c r="X131" i="59"/>
  <c r="J36" i="22"/>
  <c r="J117" i="22" s="1"/>
  <c r="J47" i="22"/>
  <c r="J128" i="22" s="1"/>
  <c r="J46" i="22"/>
  <c r="J127" i="22" s="1"/>
  <c r="J39" i="22"/>
  <c r="J120" i="22" s="1"/>
  <c r="J41" i="22"/>
  <c r="J122" i="22" s="1"/>
  <c r="J38" i="22"/>
  <c r="J119" i="22" s="1"/>
  <c r="J37" i="22"/>
  <c r="J118" i="22" s="1"/>
  <c r="J35" i="22"/>
  <c r="J116" i="22" s="1"/>
  <c r="AC114" i="59"/>
  <c r="AC104" i="59"/>
  <c r="AC103" i="59"/>
  <c r="AC105" i="59"/>
  <c r="AC102" i="59"/>
  <c r="AC108" i="59"/>
  <c r="R184" i="59" s="1"/>
  <c r="AC106" i="59"/>
  <c r="H42" i="22"/>
  <c r="AC109" i="59"/>
  <c r="AC113" i="59"/>
  <c r="W141" i="59"/>
  <c r="W132" i="59"/>
  <c r="W130" i="59"/>
  <c r="P197" i="59"/>
  <c r="W136" i="59"/>
  <c r="X136" i="59" s="1"/>
  <c r="W140" i="59"/>
  <c r="W133" i="59"/>
  <c r="W129" i="59"/>
  <c r="X129" i="59" s="1"/>
  <c r="W131" i="59"/>
  <c r="W135" i="59"/>
  <c r="J70" i="22" l="1"/>
  <c r="L70" i="22" s="1"/>
  <c r="BX55" i="61" s="1"/>
  <c r="AP56" i="61" s="1"/>
  <c r="H124" i="22"/>
  <c r="BP55" i="61" s="1"/>
  <c r="J78" i="22"/>
  <c r="H132" i="22"/>
  <c r="BP63" i="61" s="1"/>
  <c r="J67" i="22"/>
  <c r="L67" i="22" s="1"/>
  <c r="BX52" i="61" s="1"/>
  <c r="AP53" i="61" s="1"/>
  <c r="H121" i="22"/>
  <c r="BP52" i="61" s="1"/>
  <c r="J62" i="22"/>
  <c r="H116" i="22"/>
  <c r="BP47" i="61" s="1"/>
  <c r="J66" i="22"/>
  <c r="H120" i="22"/>
  <c r="BP51" i="61" s="1"/>
  <c r="J69" i="22"/>
  <c r="H123" i="22"/>
  <c r="BP54" i="61" s="1"/>
  <c r="J60" i="22"/>
  <c r="L60" i="22" s="1"/>
  <c r="BX45" i="61" s="1"/>
  <c r="AP46" i="61" s="1"/>
  <c r="H114" i="22"/>
  <c r="BP45" i="61" s="1"/>
  <c r="U78" i="61" s="1"/>
  <c r="J74" i="22"/>
  <c r="H128" i="22"/>
  <c r="BP59" i="61" s="1"/>
  <c r="J61" i="22"/>
  <c r="L61" i="22" s="1"/>
  <c r="BX46" i="61" s="1"/>
  <c r="AP47" i="61" s="1"/>
  <c r="H115" i="22"/>
  <c r="BP46" i="61" s="1"/>
  <c r="J77" i="22"/>
  <c r="H131" i="22"/>
  <c r="BP62" i="61" s="1"/>
  <c r="J72" i="22"/>
  <c r="L72" i="22" s="1"/>
  <c r="BX57" i="61" s="1"/>
  <c r="AP58" i="61" s="1"/>
  <c r="H126" i="22"/>
  <c r="BP57" i="61" s="1"/>
  <c r="J63" i="22"/>
  <c r="H117" i="22"/>
  <c r="BP48" i="61" s="1"/>
  <c r="J65" i="22"/>
  <c r="L65" i="22" s="1"/>
  <c r="BX50" i="61" s="1"/>
  <c r="AP51" i="61" s="1"/>
  <c r="H119" i="22"/>
  <c r="BP50" i="61" s="1"/>
  <c r="J71" i="22"/>
  <c r="H125" i="22"/>
  <c r="BP56" i="61" s="1"/>
  <c r="J68" i="22"/>
  <c r="L68" i="22" s="1"/>
  <c r="BX53" i="61" s="1"/>
  <c r="AP54" i="61" s="1"/>
  <c r="H122" i="22"/>
  <c r="BP53" i="61" s="1"/>
  <c r="J79" i="22"/>
  <c r="H133" i="22"/>
  <c r="BP64" i="61" s="1"/>
  <c r="J64" i="22"/>
  <c r="L64" i="22" s="1"/>
  <c r="BX49" i="61" s="1"/>
  <c r="AP50" i="61" s="1"/>
  <c r="H118" i="22"/>
  <c r="BP49" i="61" s="1"/>
  <c r="J75" i="22"/>
  <c r="H129" i="22"/>
  <c r="BP60" i="61" s="1"/>
  <c r="J73" i="22"/>
  <c r="L73" i="22" s="1"/>
  <c r="BX58" i="61" s="1"/>
  <c r="H127" i="22"/>
  <c r="BP58" i="61" s="1"/>
  <c r="J76" i="22"/>
  <c r="L76" i="22" s="1"/>
  <c r="BX61" i="61" s="1"/>
  <c r="H130" i="22"/>
  <c r="BP61" i="61" s="1"/>
  <c r="N195" i="59"/>
  <c r="V78" i="61"/>
  <c r="Q187" i="59"/>
  <c r="R185" i="59"/>
  <c r="Q186" i="59"/>
  <c r="G107" i="22"/>
  <c r="I154" i="59"/>
  <c r="L79" i="22"/>
  <c r="BX64" i="61" s="1"/>
  <c r="L63" i="22"/>
  <c r="BX48" i="61" s="1"/>
  <c r="AP49" i="61" s="1"/>
  <c r="L75" i="22"/>
  <c r="BX60" i="61" s="1"/>
  <c r="L77" i="22"/>
  <c r="BX62" i="61" s="1"/>
  <c r="L66" i="22"/>
  <c r="BX51" i="61" s="1"/>
  <c r="AP52" i="61" s="1"/>
  <c r="L78" i="22"/>
  <c r="BX63" i="61" s="1"/>
  <c r="L71" i="22"/>
  <c r="BX56" i="61" s="1"/>
  <c r="AP57" i="61" s="1"/>
  <c r="L69" i="22"/>
  <c r="BX54" i="61" s="1"/>
  <c r="AP55" i="61" s="1"/>
  <c r="L62" i="22"/>
  <c r="BX47" i="61" s="1"/>
  <c r="AP48" i="61" s="1"/>
  <c r="L74" i="22"/>
  <c r="BX59" i="61" s="1"/>
  <c r="N473" i="59"/>
  <c r="P473" i="59"/>
  <c r="R183" i="59"/>
  <c r="O154" i="59"/>
  <c r="S184" i="59"/>
  <c r="S187" i="59"/>
  <c r="P195" i="59"/>
  <c r="P196" i="59"/>
  <c r="S185" i="59"/>
  <c r="S186" i="59"/>
  <c r="P198" i="59"/>
  <c r="J154" i="59"/>
  <c r="AD163" i="59" s="1"/>
  <c r="AC165" i="59"/>
  <c r="AC164" i="59"/>
  <c r="AD164" i="59"/>
  <c r="AQ54" i="61" l="1"/>
  <c r="AN74" i="61" s="1"/>
  <c r="AR54" i="61"/>
  <c r="AO74" i="61" s="1"/>
  <c r="AR50" i="61"/>
  <c r="AO70" i="61" s="1"/>
  <c r="AR48" i="61"/>
  <c r="AO68" i="61" s="1"/>
  <c r="AR47" i="61"/>
  <c r="AO67" i="61" s="1"/>
  <c r="AQ47" i="61"/>
  <c r="AN67" i="61" s="1"/>
  <c r="AR53" i="61"/>
  <c r="AO73" i="61" s="1"/>
  <c r="AQ53" i="61"/>
  <c r="AN73" i="61" s="1"/>
  <c r="AQ58" i="61"/>
  <c r="AN78" i="61" s="1"/>
  <c r="AR58" i="61"/>
  <c r="AO78" i="61" s="1"/>
  <c r="AR52" i="61"/>
  <c r="AO72" i="61" s="1"/>
  <c r="AQ52" i="61"/>
  <c r="AN72" i="61" s="1"/>
  <c r="AR49" i="61"/>
  <c r="AO69" i="61" s="1"/>
  <c r="AR56" i="61"/>
  <c r="AO76" i="61" s="1"/>
  <c r="AQ56" i="61"/>
  <c r="AN76" i="61" s="1"/>
  <c r="AN47" i="61"/>
  <c r="AQ46" i="61"/>
  <c r="AN66" i="61" s="1"/>
  <c r="AR46" i="61"/>
  <c r="AO66" i="61" s="1"/>
  <c r="AQ55" i="61"/>
  <c r="AN75" i="61" s="1"/>
  <c r="AR55" i="61"/>
  <c r="AO75" i="61" s="1"/>
  <c r="AQ57" i="61"/>
  <c r="AN77" i="61" s="1"/>
  <c r="AR57" i="61"/>
  <c r="AO77" i="61" s="1"/>
  <c r="AR51" i="61"/>
  <c r="AO71" i="61" s="1"/>
  <c r="AC161" i="59"/>
  <c r="AG161" i="59" s="1"/>
  <c r="AC162" i="59"/>
  <c r="AG162" i="59" s="1"/>
  <c r="AD161" i="59"/>
  <c r="AE161" i="59" s="1"/>
  <c r="AD162" i="59"/>
  <c r="AC163" i="59"/>
  <c r="AG163" i="59" s="1"/>
  <c r="Q473" i="59"/>
  <c r="S473" i="59" s="1"/>
  <c r="T480" i="59" s="1"/>
  <c r="T183" i="59"/>
  <c r="U183" i="59" s="1"/>
  <c r="W183" i="59" s="1"/>
  <c r="Q194" i="59"/>
  <c r="AF163" i="59"/>
  <c r="AD165" i="59"/>
  <c r="Q196" i="59"/>
  <c r="T196" i="59" s="1"/>
  <c r="W211" i="59" s="1"/>
  <c r="T187" i="59"/>
  <c r="Y187" i="59" s="1"/>
  <c r="O198" i="59" s="1"/>
  <c r="Q195" i="59"/>
  <c r="T186" i="59"/>
  <c r="Y186" i="59" s="1"/>
  <c r="Q198" i="59"/>
  <c r="T185" i="59"/>
  <c r="Y185" i="59" s="1"/>
  <c r="Q197" i="59"/>
  <c r="T184" i="59"/>
  <c r="U184" i="59" s="1"/>
  <c r="W184" i="59" s="1"/>
  <c r="U197" i="59" s="1"/>
  <c r="AE163" i="59"/>
  <c r="AE164" i="59"/>
  <c r="AH164" i="59" s="1"/>
  <c r="AF164" i="59"/>
  <c r="N235" i="59"/>
  <c r="AN48" i="61" l="1"/>
  <c r="P80" i="61" s="1"/>
  <c r="AF161" i="59"/>
  <c r="AH161" i="59"/>
  <c r="AI161" i="59" s="1"/>
  <c r="AO161" i="59" s="1"/>
  <c r="AH163" i="59"/>
  <c r="AI163" i="59" s="1"/>
  <c r="AO163" i="59" s="1"/>
  <c r="Y183" i="59"/>
  <c r="O195" i="59" s="1"/>
  <c r="AE162" i="59"/>
  <c r="AH162" i="59" s="1"/>
  <c r="AI162" i="59" s="1"/>
  <c r="AF162" i="59"/>
  <c r="W473" i="59"/>
  <c r="V480" i="59" s="1"/>
  <c r="AB480" i="59"/>
  <c r="X480" i="59"/>
  <c r="Y184" i="59"/>
  <c r="X187" i="59"/>
  <c r="AE165" i="59"/>
  <c r="AH165" i="59" s="1"/>
  <c r="AI165" i="59" s="1"/>
  <c r="X185" i="59"/>
  <c r="S198" i="59" s="1"/>
  <c r="X186" i="59"/>
  <c r="U195" i="59"/>
  <c r="U196" i="59"/>
  <c r="AF165" i="59"/>
  <c r="AI164" i="59"/>
  <c r="M236" i="59"/>
  <c r="M237" i="59"/>
  <c r="N234" i="59"/>
  <c r="Y80" i="61" l="1"/>
  <c r="W80" i="61"/>
  <c r="V80" i="61"/>
  <c r="R80" i="61"/>
  <c r="T80" i="61"/>
  <c r="U80" i="61"/>
  <c r="AN49" i="61"/>
  <c r="AQ49" i="61" s="1"/>
  <c r="AN69" i="61" s="1"/>
  <c r="AQ48" i="61"/>
  <c r="AN68" i="61" s="1"/>
  <c r="AQ161" i="59"/>
  <c r="X183" i="59"/>
  <c r="AN161" i="59"/>
  <c r="AP161" i="59"/>
  <c r="AQ162" i="59"/>
  <c r="AO162" i="59"/>
  <c r="AN162" i="59"/>
  <c r="O194" i="59"/>
  <c r="T194" i="59" s="1"/>
  <c r="W209" i="59" s="1"/>
  <c r="N194" i="59"/>
  <c r="S194" i="59" s="1"/>
  <c r="V209" i="59" s="1"/>
  <c r="N196" i="59"/>
  <c r="AP162" i="59"/>
  <c r="T195" i="59"/>
  <c r="W210" i="59" s="1"/>
  <c r="AQ165" i="59"/>
  <c r="AP165" i="59"/>
  <c r="AQ163" i="59"/>
  <c r="AP163" i="59"/>
  <c r="AO164" i="59"/>
  <c r="AQ164" i="59"/>
  <c r="AP164" i="59"/>
  <c r="T198" i="59"/>
  <c r="T197" i="59"/>
  <c r="V213" i="59"/>
  <c r="AN163" i="59"/>
  <c r="AN165" i="59"/>
  <c r="AO165" i="59"/>
  <c r="AN164" i="59"/>
  <c r="M238" i="59"/>
  <c r="AN50" i="61" l="1"/>
  <c r="AQ50" i="61" s="1"/>
  <c r="AN70" i="61" s="1"/>
  <c r="W213" i="59"/>
  <c r="W212" i="59"/>
  <c r="C68" i="59"/>
  <c r="AN51" i="61" l="1"/>
  <c r="C43" i="57"/>
  <c r="X361" i="59"/>
  <c r="X368" i="59"/>
  <c r="X367" i="59"/>
  <c r="X362" i="59"/>
  <c r="X370" i="59"/>
  <c r="X366" i="59"/>
  <c r="X364" i="59"/>
  <c r="X371" i="59"/>
  <c r="X355" i="59"/>
  <c r="X372" i="59"/>
  <c r="X360" i="59"/>
  <c r="X354" i="59"/>
  <c r="X359" i="59"/>
  <c r="X369" i="59"/>
  <c r="X356" i="59"/>
  <c r="X357" i="59"/>
  <c r="X363" i="59"/>
  <c r="X365" i="59"/>
  <c r="X358" i="59"/>
  <c r="X353" i="59"/>
  <c r="W367" i="59"/>
  <c r="W370" i="59"/>
  <c r="W353" i="59"/>
  <c r="W371" i="59"/>
  <c r="W372" i="59"/>
  <c r="W354" i="59"/>
  <c r="W363" i="59"/>
  <c r="W359" i="59"/>
  <c r="W369" i="59"/>
  <c r="W361" i="59"/>
  <c r="W356" i="59"/>
  <c r="W368" i="59"/>
  <c r="W362" i="59"/>
  <c r="W366" i="59"/>
  <c r="W364" i="59"/>
  <c r="W355" i="59"/>
  <c r="W360" i="59"/>
  <c r="W357" i="59"/>
  <c r="W365" i="59"/>
  <c r="W358" i="59"/>
  <c r="W333" i="59"/>
  <c r="X333" i="59"/>
  <c r="X328" i="59"/>
  <c r="W328" i="59"/>
  <c r="X336" i="59"/>
  <c r="W336" i="59"/>
  <c r="W330" i="59"/>
  <c r="X330" i="59"/>
  <c r="X340" i="59"/>
  <c r="W340" i="59"/>
  <c r="X332" i="59"/>
  <c r="W332" i="59"/>
  <c r="W327" i="59"/>
  <c r="X327" i="59"/>
  <c r="W339" i="59"/>
  <c r="X339" i="59"/>
  <c r="W341" i="59"/>
  <c r="X341" i="59"/>
  <c r="W335" i="59"/>
  <c r="X335" i="59"/>
  <c r="X342" i="59"/>
  <c r="W342" i="59"/>
  <c r="X326" i="59"/>
  <c r="W326" i="59"/>
  <c r="W343" i="59"/>
  <c r="X343" i="59"/>
  <c r="W331" i="59"/>
  <c r="X331" i="59"/>
  <c r="W325" i="59"/>
  <c r="X325" i="59"/>
  <c r="W338" i="59"/>
  <c r="X338" i="59"/>
  <c r="W337" i="59"/>
  <c r="X337" i="59"/>
  <c r="X334" i="59"/>
  <c r="W334" i="59"/>
  <c r="W329" i="59"/>
  <c r="X329" i="59"/>
  <c r="L283" i="59"/>
  <c r="L267" i="59"/>
  <c r="L277" i="59"/>
  <c r="L282" i="59"/>
  <c r="L268" i="59"/>
  <c r="L273" i="59"/>
  <c r="L271" i="59"/>
  <c r="L272" i="59"/>
  <c r="L281" i="59"/>
  <c r="L270" i="59"/>
  <c r="P270" i="59" s="1"/>
  <c r="L276" i="59"/>
  <c r="O276" i="59" s="1"/>
  <c r="L275" i="59"/>
  <c r="L280" i="59"/>
  <c r="L285" i="59"/>
  <c r="L274" i="59"/>
  <c r="L284" i="59"/>
  <c r="L279" i="59"/>
  <c r="L269" i="59"/>
  <c r="L278" i="59"/>
  <c r="Q48" i="59"/>
  <c r="Q53" i="59"/>
  <c r="Q52" i="59"/>
  <c r="Q50" i="59"/>
  <c r="Q60" i="59"/>
  <c r="Q56" i="59"/>
  <c r="Q55" i="59"/>
  <c r="Q51" i="59"/>
  <c r="Q63" i="59"/>
  <c r="Q67" i="59"/>
  <c r="Q61" i="59"/>
  <c r="Q59" i="59"/>
  <c r="Q62" i="59"/>
  <c r="Q58" i="59"/>
  <c r="Q64" i="59"/>
  <c r="Q65" i="59"/>
  <c r="Q66" i="59"/>
  <c r="Q57" i="59"/>
  <c r="Q54" i="59"/>
  <c r="Q49" i="59"/>
  <c r="Q128" i="59" s="1"/>
  <c r="F451" i="59" s="1"/>
  <c r="AN52" i="61" l="1"/>
  <c r="AQ51" i="61"/>
  <c r="AN71" i="61" s="1"/>
  <c r="G501" i="59"/>
  <c r="K501" i="59" s="1"/>
  <c r="T270" i="59"/>
  <c r="C33" i="59"/>
  <c r="F507" i="59"/>
  <c r="J507" i="59" s="1"/>
  <c r="S276" i="59"/>
  <c r="C509" i="59"/>
  <c r="V278" i="59"/>
  <c r="M509" i="59" s="1"/>
  <c r="Q509" i="59" s="1"/>
  <c r="U278" i="59"/>
  <c r="L509" i="59" s="1"/>
  <c r="P509" i="59" s="1"/>
  <c r="C510" i="59"/>
  <c r="U279" i="59"/>
  <c r="L510" i="59" s="1"/>
  <c r="P510" i="59" s="1"/>
  <c r="R510" i="59" s="1"/>
  <c r="C511" i="59"/>
  <c r="U280" i="59"/>
  <c r="L511" i="59" s="1"/>
  <c r="P511" i="59" s="1"/>
  <c r="R511" i="59" s="1"/>
  <c r="C512" i="59"/>
  <c r="U281" i="59"/>
  <c r="L512" i="59" s="1"/>
  <c r="P512" i="59" s="1"/>
  <c r="R512" i="59" s="1"/>
  <c r="C514" i="59"/>
  <c r="U283" i="59"/>
  <c r="L514" i="59" s="1"/>
  <c r="P514" i="59" s="1"/>
  <c r="R514" i="59" s="1"/>
  <c r="C515" i="59"/>
  <c r="U284" i="59"/>
  <c r="L515" i="59" s="1"/>
  <c r="P515" i="59" s="1"/>
  <c r="R515" i="59" s="1"/>
  <c r="C506" i="59"/>
  <c r="U275" i="59"/>
  <c r="L506" i="59" s="1"/>
  <c r="P506" i="59" s="1"/>
  <c r="V275" i="59"/>
  <c r="M506" i="59" s="1"/>
  <c r="Q506" i="59" s="1"/>
  <c r="C503" i="59"/>
  <c r="V272" i="59"/>
  <c r="M503" i="59" s="1"/>
  <c r="Q503" i="59" s="1"/>
  <c r="R503" i="59" s="1"/>
  <c r="C513" i="59"/>
  <c r="U282" i="59"/>
  <c r="L513" i="59" s="1"/>
  <c r="P513" i="59" s="1"/>
  <c r="R513" i="59" s="1"/>
  <c r="C505" i="59"/>
  <c r="V274" i="59"/>
  <c r="M505" i="59" s="1"/>
  <c r="Q505" i="59" s="1"/>
  <c r="R505" i="59" s="1"/>
  <c r="C507" i="59"/>
  <c r="U276" i="59"/>
  <c r="L507" i="59" s="1"/>
  <c r="P507" i="59" s="1"/>
  <c r="V276" i="59"/>
  <c r="M507" i="59" s="1"/>
  <c r="Q507" i="59" s="1"/>
  <c r="C502" i="59"/>
  <c r="V271" i="59"/>
  <c r="M502" i="59" s="1"/>
  <c r="Q502" i="59" s="1"/>
  <c r="R502" i="59" s="1"/>
  <c r="C508" i="59"/>
  <c r="V277" i="59"/>
  <c r="M508" i="59" s="1"/>
  <c r="Q508" i="59" s="1"/>
  <c r="U277" i="59"/>
  <c r="L508" i="59" s="1"/>
  <c r="P508" i="59" s="1"/>
  <c r="C500" i="59"/>
  <c r="P269" i="59"/>
  <c r="C516" i="59"/>
  <c r="U285" i="59"/>
  <c r="L516" i="59" s="1"/>
  <c r="P516" i="59" s="1"/>
  <c r="R516" i="59" s="1"/>
  <c r="C501" i="59"/>
  <c r="V270" i="59"/>
  <c r="M501" i="59" s="1"/>
  <c r="Q501" i="59" s="1"/>
  <c r="R501" i="59" s="1"/>
  <c r="C504" i="59"/>
  <c r="V273" i="59"/>
  <c r="M504" i="59" s="1"/>
  <c r="Q504" i="59" s="1"/>
  <c r="R504" i="59" s="1"/>
  <c r="C499" i="59"/>
  <c r="U267" i="59"/>
  <c r="L498" i="59" s="1"/>
  <c r="P498" i="59" s="1"/>
  <c r="C498" i="59"/>
  <c r="Y127" i="59"/>
  <c r="N450" i="59" s="1"/>
  <c r="P450" i="59" s="1"/>
  <c r="Q127" i="59"/>
  <c r="F450" i="59" s="1"/>
  <c r="H450" i="59" s="1"/>
  <c r="P267" i="59"/>
  <c r="G498" i="59" s="1"/>
  <c r="K498" i="59" s="1"/>
  <c r="P268" i="59"/>
  <c r="U268" i="59" s="1"/>
  <c r="L499" i="59" s="1"/>
  <c r="P499" i="59" s="1"/>
  <c r="R127" i="59"/>
  <c r="G450" i="59" s="1"/>
  <c r="I450" i="59" s="1"/>
  <c r="Z136" i="59"/>
  <c r="Y136" i="59"/>
  <c r="Y137" i="59"/>
  <c r="Z137" i="59"/>
  <c r="Z146" i="59"/>
  <c r="Y146" i="59"/>
  <c r="Y135" i="59"/>
  <c r="Z135" i="59"/>
  <c r="Y132" i="59"/>
  <c r="N455" i="59" s="1"/>
  <c r="P455" i="59" s="1"/>
  <c r="Z132" i="59"/>
  <c r="Z144" i="59"/>
  <c r="Y144" i="59"/>
  <c r="N467" i="59" s="1"/>
  <c r="P467" i="59" s="1"/>
  <c r="Y138" i="59"/>
  <c r="Z138" i="59"/>
  <c r="Y130" i="59"/>
  <c r="N453" i="59" s="1"/>
  <c r="P453" i="59" s="1"/>
  <c r="Z130" i="59"/>
  <c r="Y145" i="59"/>
  <c r="Z145" i="59"/>
  <c r="Z141" i="59"/>
  <c r="Y141" i="59"/>
  <c r="N464" i="59" s="1"/>
  <c r="P464" i="59" s="1"/>
  <c r="Z142" i="59"/>
  <c r="Y142" i="59"/>
  <c r="N465" i="59" s="1"/>
  <c r="P465" i="59" s="1"/>
  <c r="Z139" i="59"/>
  <c r="Y139" i="59"/>
  <c r="N462" i="59" s="1"/>
  <c r="P462" i="59" s="1"/>
  <c r="Z127" i="59"/>
  <c r="Y133" i="59"/>
  <c r="N456" i="59" s="1"/>
  <c r="P456" i="59" s="1"/>
  <c r="Z133" i="59"/>
  <c r="Y143" i="59"/>
  <c r="N466" i="59" s="1"/>
  <c r="P466" i="59" s="1"/>
  <c r="Z143" i="59"/>
  <c r="Z140" i="59"/>
  <c r="Y140" i="59"/>
  <c r="N463" i="59" s="1"/>
  <c r="P463" i="59" s="1"/>
  <c r="Y134" i="59"/>
  <c r="Z134" i="59"/>
  <c r="Z131" i="59"/>
  <c r="Y131" i="59"/>
  <c r="N454" i="59" s="1"/>
  <c r="P454" i="59" s="1"/>
  <c r="Y128" i="59"/>
  <c r="Z128" i="59"/>
  <c r="Y129" i="59"/>
  <c r="Z129" i="59"/>
  <c r="R140" i="59"/>
  <c r="G463" i="59" s="1"/>
  <c r="R130" i="59"/>
  <c r="G453" i="59" s="1"/>
  <c r="Q135" i="59"/>
  <c r="F458" i="59" s="1"/>
  <c r="R138" i="59"/>
  <c r="G461" i="59" s="1"/>
  <c r="R144" i="59"/>
  <c r="G467" i="59" s="1"/>
  <c r="R132" i="59"/>
  <c r="G455" i="59" s="1"/>
  <c r="Q131" i="59"/>
  <c r="F454" i="59" s="1"/>
  <c r="R134" i="59"/>
  <c r="G457" i="59" s="1"/>
  <c r="R145" i="59"/>
  <c r="G468" i="59" s="1"/>
  <c r="R137" i="59"/>
  <c r="G460" i="59" s="1"/>
  <c r="R131" i="59"/>
  <c r="G454" i="59" s="1"/>
  <c r="Q133" i="59"/>
  <c r="F456" i="59" s="1"/>
  <c r="R128" i="59"/>
  <c r="G451" i="59" s="1"/>
  <c r="Q129" i="59"/>
  <c r="F452" i="59" s="1"/>
  <c r="Q145" i="59"/>
  <c r="F468" i="59" s="1"/>
  <c r="Q140" i="59"/>
  <c r="F463" i="59" s="1"/>
  <c r="R141" i="59"/>
  <c r="G464" i="59" s="1"/>
  <c r="Q142" i="59"/>
  <c r="F465" i="59" s="1"/>
  <c r="Q132" i="59"/>
  <c r="F455" i="59" s="1"/>
  <c r="Q139" i="59"/>
  <c r="F462" i="59" s="1"/>
  <c r="Q130" i="59"/>
  <c r="F453" i="59" s="1"/>
  <c r="R143" i="59"/>
  <c r="G466" i="59" s="1"/>
  <c r="Q134" i="59"/>
  <c r="F457" i="59" s="1"/>
  <c r="Q146" i="59"/>
  <c r="F469" i="59" s="1"/>
  <c r="Q138" i="59"/>
  <c r="F461" i="59" s="1"/>
  <c r="Q144" i="59"/>
  <c r="F467" i="59" s="1"/>
  <c r="R136" i="59"/>
  <c r="G459" i="59" s="1"/>
  <c r="R135" i="59"/>
  <c r="G458" i="59" s="1"/>
  <c r="R142" i="59"/>
  <c r="G465" i="59" s="1"/>
  <c r="R139" i="59"/>
  <c r="G462" i="59" s="1"/>
  <c r="Q137" i="59"/>
  <c r="F460" i="59" s="1"/>
  <c r="Q143" i="59"/>
  <c r="F466" i="59" s="1"/>
  <c r="R133" i="59"/>
  <c r="G456" i="59" s="1"/>
  <c r="R146" i="59"/>
  <c r="G469" i="59" s="1"/>
  <c r="R129" i="59"/>
  <c r="G452" i="59" s="1"/>
  <c r="Q136" i="59"/>
  <c r="F459" i="59" s="1"/>
  <c r="Q141" i="59"/>
  <c r="F464" i="59" s="1"/>
  <c r="Y338" i="59"/>
  <c r="Y331" i="59"/>
  <c r="Y335" i="59"/>
  <c r="Y341" i="59"/>
  <c r="Y327" i="59"/>
  <c r="Y333" i="59"/>
  <c r="Y365" i="59"/>
  <c r="Y369" i="59"/>
  <c r="Y342" i="59"/>
  <c r="Y328" i="59"/>
  <c r="Y358" i="59"/>
  <c r="Y355" i="59"/>
  <c r="Y366" i="59"/>
  <c r="Y368" i="59"/>
  <c r="Y359" i="59"/>
  <c r="Y354" i="59"/>
  <c r="Y371" i="59"/>
  <c r="Y370" i="59"/>
  <c r="Y360" i="59"/>
  <c r="Y364" i="59"/>
  <c r="Y362" i="59"/>
  <c r="Y356" i="59"/>
  <c r="Y363" i="59"/>
  <c r="Y372" i="59"/>
  <c r="Y353" i="59"/>
  <c r="Y367" i="59"/>
  <c r="Y329" i="59"/>
  <c r="Y339" i="59"/>
  <c r="Y330" i="59"/>
  <c r="Y357" i="59"/>
  <c r="Y361" i="59"/>
  <c r="Y334" i="59"/>
  <c r="Y326" i="59"/>
  <c r="Y340" i="59"/>
  <c r="Y336" i="59"/>
  <c r="Y337" i="59"/>
  <c r="Y325" i="59"/>
  <c r="Y343" i="59"/>
  <c r="Y332" i="59"/>
  <c r="AN53" i="61" l="1"/>
  <c r="P84" i="61"/>
  <c r="P83" i="61"/>
  <c r="P81" i="61"/>
  <c r="P79" i="61"/>
  <c r="P82" i="61"/>
  <c r="C36" i="59"/>
  <c r="C398" i="59" s="1"/>
  <c r="C34" i="59"/>
  <c r="R508" i="59"/>
  <c r="R507" i="59"/>
  <c r="G500" i="59"/>
  <c r="K500" i="59" s="1"/>
  <c r="T269" i="59"/>
  <c r="R506" i="59"/>
  <c r="R509" i="59"/>
  <c r="V269" i="59"/>
  <c r="M500" i="59" s="1"/>
  <c r="Q500" i="59" s="1"/>
  <c r="AA127" i="59"/>
  <c r="AA161" i="59" s="1"/>
  <c r="AJ161" i="59" s="1"/>
  <c r="AB137" i="59"/>
  <c r="O460" i="59"/>
  <c r="Q460" i="59" s="1"/>
  <c r="AA128" i="59"/>
  <c r="N451" i="59"/>
  <c r="P451" i="59" s="1"/>
  <c r="AA134" i="59"/>
  <c r="N457" i="59"/>
  <c r="P457" i="59" s="1"/>
  <c r="AB142" i="59"/>
  <c r="O465" i="59"/>
  <c r="Q465" i="59" s="1"/>
  <c r="AA145" i="59"/>
  <c r="N468" i="59"/>
  <c r="P468" i="59" s="1"/>
  <c r="AA138" i="59"/>
  <c r="N461" i="59"/>
  <c r="P461" i="59" s="1"/>
  <c r="AB146" i="59"/>
  <c r="O469" i="59"/>
  <c r="Q469" i="59" s="1"/>
  <c r="AB136" i="59"/>
  <c r="O459" i="59"/>
  <c r="Q459" i="59" s="1"/>
  <c r="AB129" i="59"/>
  <c r="W173" i="59" s="1"/>
  <c r="O452" i="59"/>
  <c r="Q452" i="59" s="1"/>
  <c r="AB133" i="59"/>
  <c r="O456" i="59"/>
  <c r="Q456" i="59" s="1"/>
  <c r="AB130" i="59"/>
  <c r="O453" i="59"/>
  <c r="Q453" i="59" s="1"/>
  <c r="AA129" i="59"/>
  <c r="N452" i="59"/>
  <c r="P452" i="59" s="1"/>
  <c r="AB131" i="59"/>
  <c r="O454" i="59"/>
  <c r="Q454" i="59" s="1"/>
  <c r="AB140" i="59"/>
  <c r="O463" i="59"/>
  <c r="Q463" i="59" s="1"/>
  <c r="AB139" i="59"/>
  <c r="O462" i="59"/>
  <c r="Q462" i="59" s="1"/>
  <c r="AB141" i="59"/>
  <c r="O464" i="59"/>
  <c r="Q464" i="59" s="1"/>
  <c r="AB144" i="59"/>
  <c r="O467" i="59"/>
  <c r="Q467" i="59" s="1"/>
  <c r="AA135" i="59"/>
  <c r="N458" i="59"/>
  <c r="P458" i="59" s="1"/>
  <c r="AA137" i="59"/>
  <c r="N460" i="59"/>
  <c r="P460" i="59" s="1"/>
  <c r="V268" i="59"/>
  <c r="M499" i="59" s="1"/>
  <c r="Q499" i="59" s="1"/>
  <c r="G499" i="59"/>
  <c r="K499" i="59" s="1"/>
  <c r="AB135" i="59"/>
  <c r="O458" i="59"/>
  <c r="Q458" i="59" s="1"/>
  <c r="AB128" i="59"/>
  <c r="O451" i="59"/>
  <c r="Q451" i="59" s="1"/>
  <c r="AB134" i="59"/>
  <c r="O457" i="59"/>
  <c r="Q457" i="59" s="1"/>
  <c r="AB143" i="59"/>
  <c r="O466" i="59"/>
  <c r="Q466" i="59" s="1"/>
  <c r="AB127" i="59"/>
  <c r="AB161" i="59" s="1"/>
  <c r="AM161" i="59" s="1"/>
  <c r="O450" i="59"/>
  <c r="Q450" i="59" s="1"/>
  <c r="AB145" i="59"/>
  <c r="O468" i="59"/>
  <c r="Q468" i="59" s="1"/>
  <c r="AB138" i="59"/>
  <c r="AB165" i="59" s="1"/>
  <c r="O461" i="59"/>
  <c r="Q461" i="59" s="1"/>
  <c r="AB132" i="59"/>
  <c r="O455" i="59"/>
  <c r="Q455" i="59" s="1"/>
  <c r="AA146" i="59"/>
  <c r="N469" i="59"/>
  <c r="P469" i="59" s="1"/>
  <c r="AA136" i="59"/>
  <c r="N459" i="59"/>
  <c r="P459" i="59" s="1"/>
  <c r="T267" i="59"/>
  <c r="V267" i="59"/>
  <c r="C400" i="59"/>
  <c r="J297" i="59"/>
  <c r="T268" i="59"/>
  <c r="J298" i="59"/>
  <c r="J299" i="59"/>
  <c r="C291" i="59"/>
  <c r="I311" i="59" s="1"/>
  <c r="J300" i="59"/>
  <c r="J301" i="59"/>
  <c r="C346" i="59"/>
  <c r="L300" i="59"/>
  <c r="G154" i="59"/>
  <c r="AA162" i="59" s="1"/>
  <c r="AK162" i="59" s="1"/>
  <c r="AA132" i="59"/>
  <c r="AA142" i="59"/>
  <c r="AA131" i="59"/>
  <c r="AA140" i="59"/>
  <c r="AA139" i="59"/>
  <c r="AA141" i="59"/>
  <c r="AA144" i="59"/>
  <c r="AA143" i="59"/>
  <c r="AA133" i="59"/>
  <c r="AA130" i="59"/>
  <c r="H154" i="59"/>
  <c r="AB162" i="59" s="1"/>
  <c r="C375" i="59"/>
  <c r="C385" i="59" l="1"/>
  <c r="C399" i="59"/>
  <c r="C386" i="59"/>
  <c r="C401" i="59"/>
  <c r="C394" i="59"/>
  <c r="C387" i="59"/>
  <c r="C396" i="59"/>
  <c r="C395" i="59"/>
  <c r="C393" i="59"/>
  <c r="C402" i="59"/>
  <c r="C384" i="59"/>
  <c r="C390" i="59"/>
  <c r="Y84" i="61"/>
  <c r="R84" i="61"/>
  <c r="U84" i="61"/>
  <c r="T84" i="61"/>
  <c r="V84" i="61"/>
  <c r="W84" i="61"/>
  <c r="AN54" i="61"/>
  <c r="C389" i="59"/>
  <c r="P85" i="61"/>
  <c r="Y83" i="61"/>
  <c r="W83" i="61"/>
  <c r="V83" i="61"/>
  <c r="T83" i="61"/>
  <c r="R83" i="61"/>
  <c r="U83" i="61"/>
  <c r="C397" i="59"/>
  <c r="C391" i="59"/>
  <c r="U81" i="61"/>
  <c r="W81" i="61"/>
  <c r="T81" i="61"/>
  <c r="R81" i="61"/>
  <c r="Y81" i="61"/>
  <c r="V81" i="61"/>
  <c r="Y79" i="61"/>
  <c r="O79" i="61"/>
  <c r="W79" i="61"/>
  <c r="T79" i="61"/>
  <c r="R79" i="61"/>
  <c r="V79" i="61"/>
  <c r="U79" i="61"/>
  <c r="Y82" i="61"/>
  <c r="W82" i="61"/>
  <c r="V82" i="61"/>
  <c r="R82" i="61"/>
  <c r="T82" i="61"/>
  <c r="U82" i="61"/>
  <c r="C403" i="59"/>
  <c r="C37" i="59"/>
  <c r="C39" i="59" s="1"/>
  <c r="J75" i="59" s="1"/>
  <c r="C388" i="59"/>
  <c r="C392" i="59"/>
  <c r="R500" i="59"/>
  <c r="AK161" i="59"/>
  <c r="M473" i="59"/>
  <c r="R473" i="59" s="1"/>
  <c r="S480" i="59" s="1"/>
  <c r="O473" i="59"/>
  <c r="Y480" i="59" s="1"/>
  <c r="AL161" i="59"/>
  <c r="R499" i="59"/>
  <c r="K298" i="59"/>
  <c r="M498" i="59"/>
  <c r="Q498" i="59" s="1"/>
  <c r="R498" i="59" s="1"/>
  <c r="F11" i="22"/>
  <c r="G11" i="22"/>
  <c r="D291" i="59"/>
  <c r="K297" i="59"/>
  <c r="K301" i="59"/>
  <c r="R301" i="59" s="1"/>
  <c r="K300" i="59"/>
  <c r="S300" i="59" s="1"/>
  <c r="K299" i="59"/>
  <c r="L299" i="59"/>
  <c r="L298" i="59"/>
  <c r="AM162" i="59"/>
  <c r="AL162" i="59"/>
  <c r="W175" i="59" s="1"/>
  <c r="AM165" i="59"/>
  <c r="AL165" i="59"/>
  <c r="I307" i="59"/>
  <c r="I309" i="59"/>
  <c r="I308" i="59"/>
  <c r="I310" i="59"/>
  <c r="AA164" i="59"/>
  <c r="AJ164" i="59" s="1"/>
  <c r="AA163" i="59"/>
  <c r="AK163" i="59" s="1"/>
  <c r="V172" i="59" s="1"/>
  <c r="AA165" i="59"/>
  <c r="AJ165" i="59" s="1"/>
  <c r="AB164" i="59"/>
  <c r="AB163" i="59"/>
  <c r="AJ162" i="59"/>
  <c r="K81" i="59" l="1"/>
  <c r="J82" i="59"/>
  <c r="K92" i="59"/>
  <c r="J94" i="59"/>
  <c r="K85" i="59"/>
  <c r="J79" i="59"/>
  <c r="J90" i="59"/>
  <c r="AM90" i="59" s="1"/>
  <c r="I465" i="59" s="1"/>
  <c r="K77" i="59"/>
  <c r="AN77" i="59" s="1"/>
  <c r="K89" i="59"/>
  <c r="J93" i="59"/>
  <c r="K86" i="59"/>
  <c r="AN86" i="59" s="1"/>
  <c r="BB86" i="59" s="1"/>
  <c r="J80" i="59"/>
  <c r="K90" i="59"/>
  <c r="K80" i="59"/>
  <c r="AN80" i="59" s="1"/>
  <c r="BB80" i="59" s="1"/>
  <c r="J89" i="59"/>
  <c r="AM89" i="59" s="1"/>
  <c r="I464" i="59" s="1"/>
  <c r="K76" i="59"/>
  <c r="AN76" i="59" s="1"/>
  <c r="BB76" i="59" s="1"/>
  <c r="J92" i="59"/>
  <c r="K93" i="59"/>
  <c r="J77" i="59"/>
  <c r="AM77" i="59" s="1"/>
  <c r="K83" i="59"/>
  <c r="K94" i="59"/>
  <c r="J91" i="59"/>
  <c r="K82" i="59"/>
  <c r="AN82" i="59" s="1"/>
  <c r="BB82" i="59" s="1"/>
  <c r="C405" i="59"/>
  <c r="C582" i="59" s="1"/>
  <c r="K88" i="59"/>
  <c r="K91" i="59"/>
  <c r="K84" i="59"/>
  <c r="AN84" i="59" s="1"/>
  <c r="BB84" i="59" s="1"/>
  <c r="J85" i="59"/>
  <c r="J83" i="59"/>
  <c r="J81" i="59"/>
  <c r="AM81" i="59" s="1"/>
  <c r="I456" i="59" s="1"/>
  <c r="K78" i="59"/>
  <c r="AN78" i="59" s="1"/>
  <c r="BB78" i="59" s="1"/>
  <c r="J86" i="59"/>
  <c r="AM86" i="59" s="1"/>
  <c r="BA86" i="59" s="1"/>
  <c r="J87" i="59"/>
  <c r="J78" i="59"/>
  <c r="K75" i="59"/>
  <c r="AN75" i="59" s="1"/>
  <c r="J100" i="59" s="1"/>
  <c r="J88" i="59"/>
  <c r="AM88" i="59" s="1"/>
  <c r="I463" i="59" s="1"/>
  <c r="J84" i="59"/>
  <c r="K79" i="59"/>
  <c r="AN79" i="59" s="1"/>
  <c r="BB79" i="59" s="1"/>
  <c r="J76" i="59"/>
  <c r="AM76" i="59" s="1"/>
  <c r="I451" i="59" s="1"/>
  <c r="K87" i="59"/>
  <c r="AN87" i="59" s="1"/>
  <c r="BB87" i="59" s="1"/>
  <c r="Y85" i="61"/>
  <c r="U85" i="61"/>
  <c r="W85" i="61"/>
  <c r="R85" i="61"/>
  <c r="T85" i="61"/>
  <c r="V85" i="61"/>
  <c r="AN55" i="61"/>
  <c r="P86" i="61"/>
  <c r="N79" i="61"/>
  <c r="O80" i="61"/>
  <c r="M297" i="59"/>
  <c r="S297" i="59" s="1"/>
  <c r="M299" i="59"/>
  <c r="R299" i="59" s="1"/>
  <c r="M298" i="59"/>
  <c r="S298" i="59" s="1"/>
  <c r="C519" i="59"/>
  <c r="E26" i="22" s="1"/>
  <c r="V473" i="59"/>
  <c r="U480" i="59" s="1"/>
  <c r="W480" i="59"/>
  <c r="Z480" i="59"/>
  <c r="AE480" i="59" s="1"/>
  <c r="AG480" i="59" s="1"/>
  <c r="AM78" i="59"/>
  <c r="I453" i="59" s="1"/>
  <c r="AM94" i="59"/>
  <c r="I469" i="59" s="1"/>
  <c r="AN92" i="59"/>
  <c r="BB92" i="59" s="1"/>
  <c r="AM83" i="59"/>
  <c r="I458" i="59" s="1"/>
  <c r="AN93" i="59"/>
  <c r="BB93" i="59" s="1"/>
  <c r="AN88" i="59"/>
  <c r="BB88" i="59" s="1"/>
  <c r="AN91" i="59"/>
  <c r="BB91" i="59" s="1"/>
  <c r="AM91" i="59"/>
  <c r="I466" i="59" s="1"/>
  <c r="AM85" i="59"/>
  <c r="BA85" i="59" s="1"/>
  <c r="AM79" i="59"/>
  <c r="I454" i="59" s="1"/>
  <c r="AN94" i="59"/>
  <c r="BB94" i="59" s="1"/>
  <c r="AM93" i="59"/>
  <c r="I468" i="59" s="1"/>
  <c r="AM82" i="59"/>
  <c r="I457" i="59" s="1"/>
  <c r="AM92" i="59"/>
  <c r="I467" i="59" s="1"/>
  <c r="AM87" i="59"/>
  <c r="AN89" i="59"/>
  <c r="BB89" i="59" s="1"/>
  <c r="AM80" i="59"/>
  <c r="I455" i="59" s="1"/>
  <c r="AN81" i="59"/>
  <c r="BB81" i="59" s="1"/>
  <c r="AM84" i="59"/>
  <c r="AN90" i="59"/>
  <c r="BB90" i="59" s="1"/>
  <c r="AN85" i="59"/>
  <c r="BB85" i="59" s="1"/>
  <c r="AN83" i="59"/>
  <c r="BB83" i="59" s="1"/>
  <c r="J309" i="59"/>
  <c r="J307" i="59"/>
  <c r="J311" i="59"/>
  <c r="J308" i="59"/>
  <c r="J310" i="59"/>
  <c r="AM75" i="59"/>
  <c r="BA75" i="59" s="1"/>
  <c r="R300" i="59"/>
  <c r="S301" i="59"/>
  <c r="P300" i="59"/>
  <c r="P301" i="59"/>
  <c r="AM163" i="59"/>
  <c r="AL163" i="59"/>
  <c r="W172" i="59" s="1"/>
  <c r="AM164" i="59"/>
  <c r="AL164" i="59"/>
  <c r="AJ163" i="59"/>
  <c r="U174" i="59" s="1"/>
  <c r="Z174" i="59" s="1"/>
  <c r="AK164" i="59"/>
  <c r="V173" i="59" s="1"/>
  <c r="AK165" i="59"/>
  <c r="BB75" i="59" l="1"/>
  <c r="AN56" i="61"/>
  <c r="P88" i="61" s="1"/>
  <c r="P87" i="61"/>
  <c r="Y86" i="61"/>
  <c r="T86" i="61"/>
  <c r="V86" i="61"/>
  <c r="U86" i="61"/>
  <c r="W86" i="61"/>
  <c r="R86" i="61"/>
  <c r="BA94" i="59"/>
  <c r="BA92" i="59"/>
  <c r="BC92" i="59" s="1"/>
  <c r="N80" i="61"/>
  <c r="O81" i="61"/>
  <c r="BA91" i="59"/>
  <c r="BC91" i="59" s="1"/>
  <c r="BA83" i="59"/>
  <c r="BC83" i="59" s="1"/>
  <c r="BA82" i="59"/>
  <c r="BC82" i="59" s="1"/>
  <c r="P297" i="59"/>
  <c r="BA90" i="59"/>
  <c r="BC90" i="59" s="1"/>
  <c r="R297" i="59"/>
  <c r="G309" i="59" s="1"/>
  <c r="BA81" i="59"/>
  <c r="BC81" i="59" s="1"/>
  <c r="BA80" i="59"/>
  <c r="BC80" i="59" s="1"/>
  <c r="R298" i="59"/>
  <c r="BA93" i="59"/>
  <c r="BC93" i="59" s="1"/>
  <c r="X173" i="59"/>
  <c r="Y173" i="59" s="1"/>
  <c r="AA173" i="59" s="1"/>
  <c r="AE173" i="59" s="1"/>
  <c r="AH173" i="59" s="1"/>
  <c r="S210" i="59" s="1"/>
  <c r="W174" i="59"/>
  <c r="X172" i="59"/>
  <c r="P298" i="59"/>
  <c r="S299" i="59"/>
  <c r="H307" i="59" s="1"/>
  <c r="P299" i="59"/>
  <c r="BA89" i="59"/>
  <c r="BC89" i="59" s="1"/>
  <c r="BA87" i="59"/>
  <c r="BC87" i="59" s="1"/>
  <c r="BA79" i="59"/>
  <c r="BC79" i="59" s="1"/>
  <c r="BA78" i="59"/>
  <c r="BC78" i="59" s="1"/>
  <c r="BA88" i="59"/>
  <c r="BC88" i="59" s="1"/>
  <c r="BA84" i="59"/>
  <c r="BC84" i="59" s="1"/>
  <c r="BA77" i="59"/>
  <c r="I118" i="59"/>
  <c r="I116" i="59"/>
  <c r="I115" i="59"/>
  <c r="I101" i="59"/>
  <c r="N128" i="59" s="1"/>
  <c r="I117" i="59"/>
  <c r="I110" i="59"/>
  <c r="I104" i="59"/>
  <c r="I119" i="59"/>
  <c r="I102" i="59"/>
  <c r="BB77" i="59"/>
  <c r="BA76" i="59"/>
  <c r="I114" i="59"/>
  <c r="I107" i="59"/>
  <c r="B467" i="59"/>
  <c r="H467" i="59" s="1"/>
  <c r="B457" i="59"/>
  <c r="H457" i="59" s="1"/>
  <c r="B468" i="59"/>
  <c r="H468" i="59" s="1"/>
  <c r="B454" i="59"/>
  <c r="H454" i="59" s="1"/>
  <c r="B466" i="59"/>
  <c r="H466" i="59" s="1"/>
  <c r="B465" i="59"/>
  <c r="H465" i="59" s="1"/>
  <c r="B452" i="59"/>
  <c r="B469" i="59"/>
  <c r="H469" i="59" s="1"/>
  <c r="B464" i="59"/>
  <c r="H464" i="59" s="1"/>
  <c r="AC480" i="59"/>
  <c r="AA480" i="59"/>
  <c r="I106" i="59"/>
  <c r="J102" i="59"/>
  <c r="I103" i="59"/>
  <c r="M130" i="59" s="1"/>
  <c r="J101" i="59"/>
  <c r="P128" i="59" s="1"/>
  <c r="I105" i="59"/>
  <c r="I112" i="59"/>
  <c r="I113" i="59"/>
  <c r="I108" i="59"/>
  <c r="I109" i="59"/>
  <c r="I111" i="59"/>
  <c r="B451" i="59"/>
  <c r="H451" i="59" s="1"/>
  <c r="B459" i="59"/>
  <c r="B455" i="59"/>
  <c r="H455" i="59" s="1"/>
  <c r="B462" i="59"/>
  <c r="B461" i="59"/>
  <c r="B456" i="59"/>
  <c r="H456" i="59" s="1"/>
  <c r="B463" i="59"/>
  <c r="H463" i="59" s="1"/>
  <c r="B460" i="59"/>
  <c r="B458" i="59"/>
  <c r="H458" i="59" s="1"/>
  <c r="D452" i="59"/>
  <c r="E452" i="59" s="1"/>
  <c r="D451" i="59"/>
  <c r="B453" i="59"/>
  <c r="H453" i="59" s="1"/>
  <c r="BC85" i="59"/>
  <c r="I100" i="59"/>
  <c r="O127" i="59" s="1"/>
  <c r="P127" i="59" s="1"/>
  <c r="J112" i="59"/>
  <c r="X112" i="59" s="1"/>
  <c r="J104" i="59"/>
  <c r="X104" i="59" s="1"/>
  <c r="J103" i="59"/>
  <c r="X103" i="59" s="1"/>
  <c r="J109" i="59"/>
  <c r="X109" i="59" s="1"/>
  <c r="J116" i="59"/>
  <c r="X116" i="59" s="1"/>
  <c r="J113" i="59"/>
  <c r="X113" i="59" s="1"/>
  <c r="J107" i="59"/>
  <c r="X107" i="59" s="1"/>
  <c r="BC94" i="59"/>
  <c r="BC86" i="59"/>
  <c r="J108" i="59"/>
  <c r="X108" i="59" s="1"/>
  <c r="J110" i="59"/>
  <c r="X110" i="59" s="1"/>
  <c r="J115" i="59"/>
  <c r="X115" i="59" s="1"/>
  <c r="J106" i="59"/>
  <c r="X106" i="59" s="1"/>
  <c r="J114" i="59"/>
  <c r="X114" i="59" s="1"/>
  <c r="J119" i="59"/>
  <c r="X119" i="59" s="1"/>
  <c r="J105" i="59"/>
  <c r="X105" i="59" s="1"/>
  <c r="J118" i="59"/>
  <c r="X118" i="59" s="1"/>
  <c r="J117" i="59"/>
  <c r="X117" i="59" s="1"/>
  <c r="J111" i="59"/>
  <c r="X111" i="59" s="1"/>
  <c r="J161" i="59"/>
  <c r="U173" i="59"/>
  <c r="Z173" i="59" s="1"/>
  <c r="AD173" i="59" s="1"/>
  <c r="AG173" i="59" s="1"/>
  <c r="U172" i="59"/>
  <c r="Z172" i="59" s="1"/>
  <c r="H311" i="59"/>
  <c r="V175" i="59"/>
  <c r="V176" i="59"/>
  <c r="U175" i="59"/>
  <c r="Z175" i="59" s="1"/>
  <c r="P212" i="59" s="1"/>
  <c r="T212" i="59" s="1"/>
  <c r="U176" i="59"/>
  <c r="Z176" i="59" s="1"/>
  <c r="P213" i="59" s="1"/>
  <c r="T213" i="59" s="1"/>
  <c r="AD174" i="59"/>
  <c r="AG174" i="59" s="1"/>
  <c r="P211" i="59"/>
  <c r="T211" i="59" s="1"/>
  <c r="M164" i="59"/>
  <c r="BC75" i="59"/>
  <c r="X100" i="59"/>
  <c r="W88" i="61" l="1"/>
  <c r="R88" i="61"/>
  <c r="Y88" i="61"/>
  <c r="T88" i="61"/>
  <c r="V88" i="61"/>
  <c r="U88" i="61"/>
  <c r="AN57" i="61"/>
  <c r="W87" i="61"/>
  <c r="T87" i="61"/>
  <c r="U87" i="61"/>
  <c r="V87" i="61"/>
  <c r="R87" i="61"/>
  <c r="Y87" i="61"/>
  <c r="N81" i="61"/>
  <c r="O82" i="61"/>
  <c r="M129" i="59"/>
  <c r="S129" i="59" s="1"/>
  <c r="H452" i="59"/>
  <c r="C452" i="59"/>
  <c r="I452" i="59" s="1"/>
  <c r="H309" i="59"/>
  <c r="M309" i="59" s="1"/>
  <c r="H308" i="59"/>
  <c r="H310" i="59"/>
  <c r="G311" i="59"/>
  <c r="M311" i="59" s="1"/>
  <c r="G308" i="59"/>
  <c r="G307" i="59"/>
  <c r="M307" i="59" s="1"/>
  <c r="G310" i="59"/>
  <c r="H461" i="59"/>
  <c r="C461" i="59"/>
  <c r="I461" i="59" s="1"/>
  <c r="H460" i="59"/>
  <c r="C460" i="59"/>
  <c r="I460" i="59" s="1"/>
  <c r="H462" i="59"/>
  <c r="C462" i="59"/>
  <c r="I462" i="59" s="1"/>
  <c r="H459" i="59"/>
  <c r="C459" i="59"/>
  <c r="I459" i="59" s="1"/>
  <c r="W103" i="59"/>
  <c r="Y103" i="59" s="1"/>
  <c r="Z103" i="59" s="1"/>
  <c r="W109" i="59"/>
  <c r="Y109" i="59" s="1"/>
  <c r="Z109" i="59" s="1"/>
  <c r="N132" i="59"/>
  <c r="T132" i="59" s="1"/>
  <c r="W105" i="59"/>
  <c r="Y105" i="59" s="1"/>
  <c r="Z105" i="59" s="1"/>
  <c r="N133" i="59"/>
  <c r="T133" i="59" s="1"/>
  <c r="W106" i="59"/>
  <c r="Y106" i="59" s="1"/>
  <c r="Z106" i="59" s="1"/>
  <c r="W111" i="59"/>
  <c r="Y111" i="59" s="1"/>
  <c r="Z111" i="59" s="1"/>
  <c r="W112" i="59"/>
  <c r="Y112" i="59" s="1"/>
  <c r="Z112" i="59" s="1"/>
  <c r="M137" i="59"/>
  <c r="N137" i="59" s="1"/>
  <c r="T137" i="59" s="1"/>
  <c r="W110" i="59"/>
  <c r="Y110" i="59" s="1"/>
  <c r="Z110" i="59" s="1"/>
  <c r="N143" i="59"/>
  <c r="T143" i="59" s="1"/>
  <c r="W116" i="59"/>
  <c r="Y116" i="59" s="1"/>
  <c r="Z116" i="59" s="1"/>
  <c r="N135" i="59"/>
  <c r="T135" i="59" s="1"/>
  <c r="W108" i="59"/>
  <c r="Y108" i="59" s="1"/>
  <c r="Z108" i="59" s="1"/>
  <c r="N141" i="59"/>
  <c r="T141" i="59" s="1"/>
  <c r="W114" i="59"/>
  <c r="Y114" i="59" s="1"/>
  <c r="Z114" i="59" s="1"/>
  <c r="N146" i="59"/>
  <c r="T146" i="59" s="1"/>
  <c r="W119" i="59"/>
  <c r="Y119" i="59" s="1"/>
  <c r="Z119" i="59" s="1"/>
  <c r="N134" i="59"/>
  <c r="T134" i="59" s="1"/>
  <c r="W107" i="59"/>
  <c r="Y107" i="59" s="1"/>
  <c r="Z107" i="59" s="1"/>
  <c r="N144" i="59"/>
  <c r="T144" i="59" s="1"/>
  <c r="W117" i="59"/>
  <c r="Y117" i="59" s="1"/>
  <c r="Z117" i="59" s="1"/>
  <c r="M145" i="59"/>
  <c r="S145" i="59" s="1"/>
  <c r="W118" i="59"/>
  <c r="Y118" i="59" s="1"/>
  <c r="Z118" i="59" s="1"/>
  <c r="N140" i="59"/>
  <c r="T140" i="59" s="1"/>
  <c r="W113" i="59"/>
  <c r="Y113" i="59" s="1"/>
  <c r="Z113" i="59" s="1"/>
  <c r="N131" i="59"/>
  <c r="T131" i="59" s="1"/>
  <c r="W104" i="59"/>
  <c r="Y104" i="59" s="1"/>
  <c r="Z104" i="59" s="1"/>
  <c r="N142" i="59"/>
  <c r="T142" i="59" s="1"/>
  <c r="W115" i="59"/>
  <c r="Y115" i="59" s="1"/>
  <c r="Z115" i="59" s="1"/>
  <c r="Q210" i="59"/>
  <c r="U210" i="59" s="1"/>
  <c r="AB115" i="59"/>
  <c r="C104" i="22"/>
  <c r="I104" i="22" s="1"/>
  <c r="W101" i="59"/>
  <c r="M143" i="59"/>
  <c r="S143" i="59" s="1"/>
  <c r="N145" i="59"/>
  <c r="T145" i="59" s="1"/>
  <c r="AB117" i="59"/>
  <c r="W102" i="59"/>
  <c r="M144" i="59"/>
  <c r="S144" i="59" s="1"/>
  <c r="BC77" i="59"/>
  <c r="BD77" i="59" s="1"/>
  <c r="D450" i="59"/>
  <c r="M134" i="59"/>
  <c r="S134" i="59" s="1"/>
  <c r="M128" i="59"/>
  <c r="S128" i="59" s="1"/>
  <c r="AB110" i="59"/>
  <c r="C49" i="22"/>
  <c r="M142" i="59"/>
  <c r="S142" i="59" s="1"/>
  <c r="AD480" i="59"/>
  <c r="AF480" i="59" s="1"/>
  <c r="M146" i="59"/>
  <c r="S146" i="59" s="1"/>
  <c r="M141" i="59"/>
  <c r="S141" i="59" s="1"/>
  <c r="M131" i="59"/>
  <c r="S131" i="59" s="1"/>
  <c r="AB119" i="59"/>
  <c r="AB114" i="59"/>
  <c r="BC76" i="59"/>
  <c r="AB104" i="59"/>
  <c r="AB107" i="59"/>
  <c r="AB102" i="59"/>
  <c r="F50" i="22"/>
  <c r="F131" i="22" s="1"/>
  <c r="BL62" i="61" s="1"/>
  <c r="C98" i="22"/>
  <c r="I98" i="22" s="1"/>
  <c r="X101" i="59"/>
  <c r="W100" i="59"/>
  <c r="Y100" i="59" s="1"/>
  <c r="F33" i="22"/>
  <c r="F114" i="22" s="1"/>
  <c r="BL45" i="61" s="1"/>
  <c r="X102" i="59"/>
  <c r="O129" i="59"/>
  <c r="P129" i="59" s="1"/>
  <c r="C37" i="22"/>
  <c r="F37" i="22"/>
  <c r="F118" i="22" s="1"/>
  <c r="BL49" i="61" s="1"/>
  <c r="C101" i="22"/>
  <c r="I101" i="22" s="1"/>
  <c r="M135" i="59"/>
  <c r="S135" i="59" s="1"/>
  <c r="O128" i="59"/>
  <c r="C44" i="22"/>
  <c r="C43" i="22"/>
  <c r="C34" i="22"/>
  <c r="F40" i="22"/>
  <c r="F121" i="22" s="1"/>
  <c r="BL52" i="61" s="1"/>
  <c r="F47" i="22"/>
  <c r="F128" i="22" s="1"/>
  <c r="BL59" i="61" s="1"/>
  <c r="M138" i="59"/>
  <c r="S138" i="59" s="1"/>
  <c r="C35" i="22"/>
  <c r="F35" i="22"/>
  <c r="F116" i="22" s="1"/>
  <c r="BL47" i="61" s="1"/>
  <c r="C93" i="22"/>
  <c r="I93" i="22" s="1"/>
  <c r="C94" i="22"/>
  <c r="I94" i="22" s="1"/>
  <c r="C88" i="22"/>
  <c r="I88" i="22" s="1"/>
  <c r="C89" i="22"/>
  <c r="I89" i="22" s="1"/>
  <c r="F36" i="22"/>
  <c r="F117" i="22" s="1"/>
  <c r="BL48" i="61" s="1"/>
  <c r="Q82" i="61" s="1"/>
  <c r="N130" i="59"/>
  <c r="T130" i="59" s="1"/>
  <c r="M133" i="59"/>
  <c r="S133" i="59" s="1"/>
  <c r="C92" i="22"/>
  <c r="I92" i="22" s="1"/>
  <c r="C87" i="22"/>
  <c r="I87" i="22" s="1"/>
  <c r="M136" i="59"/>
  <c r="S136" i="59" s="1"/>
  <c r="M132" i="59"/>
  <c r="S132" i="59" s="1"/>
  <c r="C36" i="22"/>
  <c r="F51" i="22"/>
  <c r="F132" i="22" s="1"/>
  <c r="BL63" i="61" s="1"/>
  <c r="F43" i="22"/>
  <c r="F124" i="22" s="1"/>
  <c r="BL55" i="61" s="1"/>
  <c r="C105" i="22"/>
  <c r="I105" i="22" s="1"/>
  <c r="C39" i="22"/>
  <c r="AB101" i="59"/>
  <c r="F39" i="22"/>
  <c r="F120" i="22" s="1"/>
  <c r="BL51" i="61" s="1"/>
  <c r="Q86" i="61" s="1"/>
  <c r="F34" i="22"/>
  <c r="F115" i="22" s="1"/>
  <c r="BL46" i="61" s="1"/>
  <c r="Q79" i="61" s="1"/>
  <c r="C96" i="22"/>
  <c r="I96" i="22" s="1"/>
  <c r="C38" i="22"/>
  <c r="AB108" i="59"/>
  <c r="AB113" i="59"/>
  <c r="AB109" i="59"/>
  <c r="F45" i="22"/>
  <c r="F126" i="22" s="1"/>
  <c r="BL57" i="61" s="1"/>
  <c r="M140" i="59"/>
  <c r="S140" i="59" s="1"/>
  <c r="C46" i="22"/>
  <c r="F41" i="22"/>
  <c r="F122" i="22" s="1"/>
  <c r="BL53" i="61" s="1"/>
  <c r="M139" i="59"/>
  <c r="S139" i="59" s="1"/>
  <c r="C50" i="22"/>
  <c r="C47" i="22"/>
  <c r="F44" i="22"/>
  <c r="F125" i="22" s="1"/>
  <c r="BL56" i="61" s="1"/>
  <c r="F42" i="22"/>
  <c r="F123" i="22" s="1"/>
  <c r="BL54" i="61" s="1"/>
  <c r="F46" i="22"/>
  <c r="F127" i="22" s="1"/>
  <c r="BL58" i="61" s="1"/>
  <c r="C100" i="22"/>
  <c r="I100" i="22" s="1"/>
  <c r="C97" i="22"/>
  <c r="I97" i="22" s="1"/>
  <c r="C103" i="22"/>
  <c r="I103" i="22" s="1"/>
  <c r="C95" i="22"/>
  <c r="I95" i="22" s="1"/>
  <c r="C90" i="22"/>
  <c r="I90" i="22" s="1"/>
  <c r="C99" i="22"/>
  <c r="I99" i="22" s="1"/>
  <c r="AB111" i="59"/>
  <c r="AB112" i="59"/>
  <c r="C42" i="22"/>
  <c r="C45" i="22"/>
  <c r="F48" i="22"/>
  <c r="F129" i="22" s="1"/>
  <c r="BL60" i="61" s="1"/>
  <c r="F52" i="22"/>
  <c r="F133" i="22" s="1"/>
  <c r="BL64" i="61" s="1"/>
  <c r="F38" i="22"/>
  <c r="F119" i="22" s="1"/>
  <c r="BL50" i="61" s="1"/>
  <c r="F49" i="22"/>
  <c r="F130" i="22" s="1"/>
  <c r="BL61" i="61" s="1"/>
  <c r="C86" i="22"/>
  <c r="C48" i="22"/>
  <c r="C52" i="22"/>
  <c r="C51" i="22"/>
  <c r="AB118" i="59"/>
  <c r="AB105" i="59"/>
  <c r="AB116" i="59"/>
  <c r="AB100" i="59"/>
  <c r="C102" i="22"/>
  <c r="I102" i="22" s="1"/>
  <c r="C91" i="22"/>
  <c r="I91" i="22" s="1"/>
  <c r="C40" i="22"/>
  <c r="C41" i="22"/>
  <c r="AB106" i="59"/>
  <c r="AB103" i="59"/>
  <c r="D467" i="59"/>
  <c r="D464" i="59"/>
  <c r="D458" i="59"/>
  <c r="D459" i="59"/>
  <c r="E459" i="59" s="1"/>
  <c r="C33" i="22"/>
  <c r="M127" i="59"/>
  <c r="S127" i="59" s="1"/>
  <c r="D468" i="59"/>
  <c r="D456" i="59"/>
  <c r="D457" i="59"/>
  <c r="D453" i="59"/>
  <c r="D455" i="59"/>
  <c r="D465" i="59"/>
  <c r="D463" i="59"/>
  <c r="D454" i="59"/>
  <c r="D461" i="59"/>
  <c r="E461" i="59" s="1"/>
  <c r="D469" i="59"/>
  <c r="D460" i="59"/>
  <c r="E460" i="59" s="1"/>
  <c r="D466" i="59"/>
  <c r="D462" i="59"/>
  <c r="E462" i="59" s="1"/>
  <c r="BD78" i="59"/>
  <c r="BD75" i="59"/>
  <c r="O138" i="59"/>
  <c r="P138" i="59" s="1"/>
  <c r="P145" i="59"/>
  <c r="O145" i="59"/>
  <c r="P146" i="59"/>
  <c r="O146" i="59"/>
  <c r="P133" i="59"/>
  <c r="O133" i="59"/>
  <c r="O137" i="59"/>
  <c r="P137" i="59" s="1"/>
  <c r="BD86" i="59"/>
  <c r="BD92" i="59"/>
  <c r="BD84" i="59"/>
  <c r="BD79" i="59"/>
  <c r="BD88" i="59"/>
  <c r="P134" i="59"/>
  <c r="O134" i="59"/>
  <c r="P143" i="59"/>
  <c r="O143" i="59"/>
  <c r="P130" i="59"/>
  <c r="O130" i="59"/>
  <c r="O139" i="59"/>
  <c r="P139" i="59" s="1"/>
  <c r="BD91" i="59"/>
  <c r="BD80" i="59"/>
  <c r="BD85" i="59"/>
  <c r="P144" i="59"/>
  <c r="O144" i="59"/>
  <c r="P132" i="59"/>
  <c r="O132" i="59"/>
  <c r="P141" i="59"/>
  <c r="O141" i="59"/>
  <c r="P142" i="59"/>
  <c r="O142" i="59"/>
  <c r="P135" i="59"/>
  <c r="O135" i="59"/>
  <c r="BD90" i="59"/>
  <c r="BD82" i="59"/>
  <c r="BD94" i="59"/>
  <c r="BD83" i="59"/>
  <c r="BD87" i="59"/>
  <c r="P140" i="59"/>
  <c r="O140" i="59"/>
  <c r="O136" i="59"/>
  <c r="P136" i="59" s="1"/>
  <c r="P131" i="59"/>
  <c r="O131" i="59"/>
  <c r="BD93" i="59"/>
  <c r="BD89" i="59"/>
  <c r="BD81" i="59"/>
  <c r="P210" i="59"/>
  <c r="T210" i="59" s="1"/>
  <c r="AD172" i="59"/>
  <c r="AG172" i="59" s="1"/>
  <c r="R209" i="59" s="1"/>
  <c r="P209" i="59"/>
  <c r="S161" i="59"/>
  <c r="T161" i="59"/>
  <c r="AD176" i="59"/>
  <c r="AG176" i="59" s="1"/>
  <c r="R213" i="59" s="1"/>
  <c r="AD175" i="59"/>
  <c r="AG175" i="59" s="1"/>
  <c r="R212" i="59" s="1"/>
  <c r="AI173" i="59"/>
  <c r="R210" i="59"/>
  <c r="AI174" i="59"/>
  <c r="R211" i="59"/>
  <c r="T128" i="59"/>
  <c r="O164" i="59"/>
  <c r="N164" i="59"/>
  <c r="L165" i="59"/>
  <c r="L164" i="59"/>
  <c r="S130" i="59"/>
  <c r="N129" i="59" l="1"/>
  <c r="T129" i="59" s="1"/>
  <c r="H173" i="59" s="1"/>
  <c r="AN58" i="61"/>
  <c r="P89" i="61"/>
  <c r="Q89" i="61" s="1"/>
  <c r="Q88" i="61"/>
  <c r="Q87" i="61"/>
  <c r="Q80" i="61"/>
  <c r="Q81" i="61"/>
  <c r="Q84" i="61"/>
  <c r="Q85" i="61"/>
  <c r="N82" i="61"/>
  <c r="O83" i="61"/>
  <c r="E77" i="22"/>
  <c r="C131" i="22"/>
  <c r="BN62" i="61" s="1"/>
  <c r="E74" i="22"/>
  <c r="H74" i="22" s="1"/>
  <c r="C128" i="22"/>
  <c r="BN59" i="61" s="1"/>
  <c r="E65" i="22"/>
  <c r="H65" i="22" s="1"/>
  <c r="C119" i="22"/>
  <c r="BN50" i="61" s="1"/>
  <c r="S85" i="61" s="1"/>
  <c r="Q83" i="61"/>
  <c r="E68" i="22"/>
  <c r="H68" i="22" s="1"/>
  <c r="C122" i="22"/>
  <c r="BN53" i="61" s="1"/>
  <c r="E78" i="22"/>
  <c r="C132" i="22"/>
  <c r="BN63" i="61" s="1"/>
  <c r="E72" i="22"/>
  <c r="H72" i="22" s="1"/>
  <c r="C126" i="22"/>
  <c r="BN57" i="61" s="1"/>
  <c r="E63" i="22"/>
  <c r="H63" i="22" s="1"/>
  <c r="C117" i="22"/>
  <c r="BN48" i="61" s="1"/>
  <c r="E64" i="22"/>
  <c r="H64" i="22" s="1"/>
  <c r="C118" i="22"/>
  <c r="BN49" i="61" s="1"/>
  <c r="E62" i="22"/>
  <c r="H62" i="22" s="1"/>
  <c r="C116" i="22"/>
  <c r="BN47" i="61" s="1"/>
  <c r="E60" i="22"/>
  <c r="H60" i="22" s="1"/>
  <c r="C114" i="22"/>
  <c r="BN45" i="61" s="1"/>
  <c r="S78" i="61" s="1"/>
  <c r="E67" i="22"/>
  <c r="H67" i="22" s="1"/>
  <c r="C121" i="22"/>
  <c r="BN52" i="61" s="1"/>
  <c r="E79" i="22"/>
  <c r="H79" i="22" s="1"/>
  <c r="C133" i="22"/>
  <c r="BN64" i="61" s="1"/>
  <c r="E69" i="22"/>
  <c r="H69" i="22" s="1"/>
  <c r="C123" i="22"/>
  <c r="BN54" i="61" s="1"/>
  <c r="E73" i="22"/>
  <c r="H73" i="22" s="1"/>
  <c r="C127" i="22"/>
  <c r="BN58" i="61" s="1"/>
  <c r="E61" i="22"/>
  <c r="H61" i="22" s="1"/>
  <c r="C115" i="22"/>
  <c r="BN46" i="61" s="1"/>
  <c r="E75" i="22"/>
  <c r="H75" i="22" s="1"/>
  <c r="C129" i="22"/>
  <c r="BN60" i="61" s="1"/>
  <c r="E70" i="22"/>
  <c r="H70" i="22" s="1"/>
  <c r="C124" i="22"/>
  <c r="BN55" i="61" s="1"/>
  <c r="E71" i="22"/>
  <c r="H71" i="22" s="1"/>
  <c r="C125" i="22"/>
  <c r="BN56" i="61" s="1"/>
  <c r="Q78" i="61"/>
  <c r="F195" i="59"/>
  <c r="E66" i="22"/>
  <c r="H66" i="22" s="1"/>
  <c r="C120" i="22"/>
  <c r="BN51" i="61" s="1"/>
  <c r="E76" i="22"/>
  <c r="H76" i="22" s="1"/>
  <c r="C130" i="22"/>
  <c r="BN61" i="61" s="1"/>
  <c r="M310" i="59"/>
  <c r="M308" i="59"/>
  <c r="F154" i="59"/>
  <c r="M163" i="59" s="1"/>
  <c r="E154" i="59"/>
  <c r="L163" i="59" s="1"/>
  <c r="P163" i="59" s="1"/>
  <c r="I184" i="59"/>
  <c r="B473" i="59"/>
  <c r="G473" i="59" s="1"/>
  <c r="K473" i="59" s="1"/>
  <c r="D480" i="59" s="1"/>
  <c r="M165" i="59"/>
  <c r="N165" i="59" s="1"/>
  <c r="Q165" i="59" s="1"/>
  <c r="R165" i="59" s="1"/>
  <c r="S137" i="59"/>
  <c r="Y101" i="59"/>
  <c r="Z101" i="59" s="1"/>
  <c r="N138" i="59"/>
  <c r="D473" i="59"/>
  <c r="N139" i="59"/>
  <c r="T139" i="59" s="1"/>
  <c r="E473" i="59"/>
  <c r="N136" i="59"/>
  <c r="I86" i="22"/>
  <c r="C107" i="22"/>
  <c r="I107" i="22" s="1"/>
  <c r="Y102" i="59"/>
  <c r="BD76" i="59"/>
  <c r="N127" i="59"/>
  <c r="H77" i="22"/>
  <c r="H78" i="22"/>
  <c r="Z100" i="59"/>
  <c r="C473" i="59"/>
  <c r="I183" i="59"/>
  <c r="P161" i="59"/>
  <c r="X209" i="59"/>
  <c r="T209" i="59"/>
  <c r="Z209" i="59"/>
  <c r="U161" i="59"/>
  <c r="V161" i="59"/>
  <c r="D154" i="59"/>
  <c r="K162" i="59" s="1"/>
  <c r="C154" i="59"/>
  <c r="H196" i="59"/>
  <c r="H195" i="59"/>
  <c r="H198" i="59"/>
  <c r="H197" i="59"/>
  <c r="J184" i="59"/>
  <c r="L184" i="59" s="1"/>
  <c r="J186" i="59"/>
  <c r="J185" i="59"/>
  <c r="J187" i="59"/>
  <c r="Q164" i="59"/>
  <c r="R164" i="59" s="1"/>
  <c r="Z164" i="59" s="1"/>
  <c r="J165" i="59"/>
  <c r="S165" i="59" s="1"/>
  <c r="AN59" i="61" l="1"/>
  <c r="P91" i="61" s="1"/>
  <c r="S91" i="61" s="1"/>
  <c r="V89" i="61"/>
  <c r="W89" i="61"/>
  <c r="T89" i="61"/>
  <c r="U89" i="61"/>
  <c r="R89" i="61"/>
  <c r="Y89" i="61"/>
  <c r="P90" i="61"/>
  <c r="S90" i="61" s="1"/>
  <c r="N83" i="61"/>
  <c r="O84" i="61"/>
  <c r="BT49" i="61"/>
  <c r="BZ56" i="61"/>
  <c r="BT56" i="61"/>
  <c r="BZ58" i="61"/>
  <c r="BT58" i="61"/>
  <c r="BZ57" i="61"/>
  <c r="BT57" i="61"/>
  <c r="BZ61" i="61"/>
  <c r="BT61" i="61"/>
  <c r="BZ59" i="61"/>
  <c r="BT59" i="61"/>
  <c r="S88" i="61"/>
  <c r="BZ54" i="61"/>
  <c r="BT54" i="61"/>
  <c r="BZ63" i="61"/>
  <c r="BT63" i="61"/>
  <c r="BZ51" i="61"/>
  <c r="BT51" i="61"/>
  <c r="X86" i="61" s="1"/>
  <c r="S86" i="61"/>
  <c r="BZ62" i="61"/>
  <c r="BT62" i="61"/>
  <c r="BZ60" i="61"/>
  <c r="BT60" i="61"/>
  <c r="BZ64" i="61"/>
  <c r="BT64" i="61"/>
  <c r="BZ53" i="61"/>
  <c r="BT53" i="61"/>
  <c r="BZ52" i="61"/>
  <c r="BT52" i="61"/>
  <c r="S87" i="61"/>
  <c r="S83" i="61"/>
  <c r="S84" i="61"/>
  <c r="BT50" i="61"/>
  <c r="BT45" i="61"/>
  <c r="X78" i="61" s="1"/>
  <c r="BZ50" i="61"/>
  <c r="BZ45" i="61"/>
  <c r="BZ55" i="61"/>
  <c r="BT55" i="61"/>
  <c r="S89" i="61"/>
  <c r="S80" i="61"/>
  <c r="BZ47" i="61"/>
  <c r="BT47" i="61"/>
  <c r="X80" i="61" s="1"/>
  <c r="S82" i="61"/>
  <c r="BZ49" i="61"/>
  <c r="S79" i="61"/>
  <c r="BZ46" i="61"/>
  <c r="BT46" i="61"/>
  <c r="S81" i="61"/>
  <c r="BZ48" i="61"/>
  <c r="BT48" i="61"/>
  <c r="C314" i="59"/>
  <c r="C317" i="59" s="1"/>
  <c r="E11" i="22" s="1"/>
  <c r="O165" i="59"/>
  <c r="Z165" i="59" s="1"/>
  <c r="B480" i="59"/>
  <c r="J480" i="59" s="1"/>
  <c r="L161" i="59"/>
  <c r="L162" i="59"/>
  <c r="M162" i="59"/>
  <c r="N162" i="59" s="1"/>
  <c r="M161" i="59"/>
  <c r="O161" i="59" s="1"/>
  <c r="T136" i="59"/>
  <c r="K164" i="59" s="1"/>
  <c r="H186" i="59"/>
  <c r="I185" i="59"/>
  <c r="T138" i="59"/>
  <c r="K165" i="59" s="1"/>
  <c r="U165" i="59" s="1"/>
  <c r="H187" i="59"/>
  <c r="N163" i="59"/>
  <c r="Q163" i="59" s="1"/>
  <c r="O163" i="59"/>
  <c r="C122" i="59"/>
  <c r="C6" i="22" s="1"/>
  <c r="F473" i="59"/>
  <c r="H473" i="59" s="1"/>
  <c r="C480" i="59" s="1"/>
  <c r="Z102" i="59"/>
  <c r="H480" i="59"/>
  <c r="T127" i="59"/>
  <c r="M154" i="59"/>
  <c r="C21" i="22"/>
  <c r="AA209" i="59"/>
  <c r="Y164" i="59"/>
  <c r="U162" i="59"/>
  <c r="V162" i="59"/>
  <c r="J163" i="59"/>
  <c r="S163" i="59" s="1"/>
  <c r="J162" i="59"/>
  <c r="S162" i="59" s="1"/>
  <c r="K163" i="59"/>
  <c r="J164" i="59"/>
  <c r="T164" i="59" s="1"/>
  <c r="N184" i="59"/>
  <c r="M197" i="59" s="1"/>
  <c r="T165" i="59"/>
  <c r="X164" i="59"/>
  <c r="W164" i="59"/>
  <c r="W165" i="59"/>
  <c r="X165" i="59"/>
  <c r="X90" i="61" l="1"/>
  <c r="W90" i="61"/>
  <c r="U90" i="61"/>
  <c r="Y90" i="61"/>
  <c r="V90" i="61"/>
  <c r="R90" i="61"/>
  <c r="T90" i="61"/>
  <c r="Q90" i="61"/>
  <c r="AN60" i="61"/>
  <c r="Y91" i="61"/>
  <c r="U91" i="61"/>
  <c r="T91" i="61"/>
  <c r="R91" i="61"/>
  <c r="V91" i="61"/>
  <c r="W91" i="61"/>
  <c r="Q91" i="61"/>
  <c r="X83" i="61"/>
  <c r="X87" i="61"/>
  <c r="X79" i="61"/>
  <c r="X91" i="61"/>
  <c r="X85" i="61"/>
  <c r="N84" i="61"/>
  <c r="O85" i="61"/>
  <c r="X81" i="61"/>
  <c r="X84" i="61"/>
  <c r="X82" i="61"/>
  <c r="X89" i="61"/>
  <c r="X88" i="61"/>
  <c r="Y165" i="59"/>
  <c r="N161" i="59"/>
  <c r="Q161" i="59" s="1"/>
  <c r="F480" i="59"/>
  <c r="L480" i="59"/>
  <c r="R163" i="59"/>
  <c r="Y163" i="59" s="1"/>
  <c r="Q162" i="59"/>
  <c r="R162" i="59" s="1"/>
  <c r="L473" i="59"/>
  <c r="X473" i="59" s="1"/>
  <c r="C475" i="59" s="1"/>
  <c r="O162" i="59"/>
  <c r="V165" i="59"/>
  <c r="I176" i="59" s="1"/>
  <c r="I480" i="59"/>
  <c r="K183" i="59"/>
  <c r="L183" i="59" s="1"/>
  <c r="N183" i="59" s="1"/>
  <c r="M196" i="59" s="1"/>
  <c r="I196" i="59"/>
  <c r="L196" i="59" s="1"/>
  <c r="J211" i="59" s="1"/>
  <c r="I194" i="59"/>
  <c r="K184" i="59"/>
  <c r="P184" i="59" s="1"/>
  <c r="K186" i="59"/>
  <c r="P186" i="59" s="1"/>
  <c r="O186" i="59" s="1"/>
  <c r="I198" i="59"/>
  <c r="I197" i="59"/>
  <c r="L197" i="59" s="1"/>
  <c r="K187" i="59"/>
  <c r="P187" i="59" s="1"/>
  <c r="I195" i="59"/>
  <c r="K185" i="59"/>
  <c r="P185" i="59" s="1"/>
  <c r="O185" i="59" s="1"/>
  <c r="I209" i="59" s="1"/>
  <c r="K480" i="59"/>
  <c r="G480" i="59"/>
  <c r="U163" i="59"/>
  <c r="V163" i="59"/>
  <c r="U164" i="59"/>
  <c r="V164" i="59"/>
  <c r="T163" i="59"/>
  <c r="S164" i="59"/>
  <c r="T162" i="59"/>
  <c r="X184" i="59"/>
  <c r="N197" i="59" s="1"/>
  <c r="S197" i="59" s="1"/>
  <c r="V212" i="59" s="1"/>
  <c r="M195" i="59"/>
  <c r="K198" i="59"/>
  <c r="I175" i="59"/>
  <c r="AN61" i="61" l="1"/>
  <c r="P93" i="61" s="1"/>
  <c r="P92" i="61"/>
  <c r="O86" i="61"/>
  <c r="N85" i="61"/>
  <c r="M480" i="59"/>
  <c r="Q480" i="59" s="1"/>
  <c r="E480" i="59"/>
  <c r="N480" i="59" s="1"/>
  <c r="Z162" i="59"/>
  <c r="Y162" i="59"/>
  <c r="H175" i="59" s="1"/>
  <c r="X162" i="59"/>
  <c r="Z163" i="59"/>
  <c r="X163" i="59"/>
  <c r="W162" i="59"/>
  <c r="W163" i="59"/>
  <c r="O187" i="59"/>
  <c r="G198" i="59"/>
  <c r="L198" i="59" s="1"/>
  <c r="J213" i="59" s="1"/>
  <c r="O184" i="59"/>
  <c r="G194" i="59"/>
  <c r="L194" i="59" s="1"/>
  <c r="J209" i="59" s="1"/>
  <c r="P183" i="59"/>
  <c r="O183" i="59" s="1"/>
  <c r="F196" i="59" s="1"/>
  <c r="D582" i="59"/>
  <c r="C22" i="22"/>
  <c r="I582" i="59"/>
  <c r="R161" i="59"/>
  <c r="X161" i="59" s="1"/>
  <c r="X176" i="59"/>
  <c r="Y176" i="59" s="1"/>
  <c r="AA176" i="59" s="1"/>
  <c r="Q213" i="59" s="1"/>
  <c r="U213" i="59" s="1"/>
  <c r="S195" i="59"/>
  <c r="V210" i="59" s="1"/>
  <c r="S196" i="59"/>
  <c r="V211" i="59" s="1"/>
  <c r="Y172" i="59"/>
  <c r="X175" i="59"/>
  <c r="Y175" i="59" s="1"/>
  <c r="AA175" i="59" s="1"/>
  <c r="Q212" i="59" s="1"/>
  <c r="U212" i="59" s="1"/>
  <c r="G176" i="59"/>
  <c r="J176" i="59" s="1"/>
  <c r="L176" i="59" s="1"/>
  <c r="J212" i="59"/>
  <c r="I213" i="59"/>
  <c r="K195" i="59"/>
  <c r="F175" i="59"/>
  <c r="F173" i="59"/>
  <c r="G175" i="59"/>
  <c r="J175" i="59" s="1"/>
  <c r="L175" i="59" s="1"/>
  <c r="F176" i="59"/>
  <c r="U93" i="61" l="1"/>
  <c r="W93" i="61"/>
  <c r="Y93" i="61"/>
  <c r="T93" i="61"/>
  <c r="R93" i="61"/>
  <c r="V93" i="61"/>
  <c r="Q93" i="61"/>
  <c r="S93" i="61"/>
  <c r="X93" i="61"/>
  <c r="AN62" i="61"/>
  <c r="V92" i="61"/>
  <c r="W92" i="61"/>
  <c r="U92" i="61"/>
  <c r="T92" i="61"/>
  <c r="Y92" i="61"/>
  <c r="R92" i="61"/>
  <c r="Q92" i="61"/>
  <c r="S92" i="61"/>
  <c r="X92" i="61"/>
  <c r="N86" i="61"/>
  <c r="O87" i="61"/>
  <c r="G172" i="59"/>
  <c r="AJ480" i="59"/>
  <c r="E582" i="59" s="1"/>
  <c r="G582" i="59" s="1"/>
  <c r="H582" i="59" s="1"/>
  <c r="K196" i="59"/>
  <c r="I211" i="59" s="1"/>
  <c r="F197" i="59"/>
  <c r="K197" i="59" s="1"/>
  <c r="I212" i="59" s="1"/>
  <c r="G195" i="59"/>
  <c r="L195" i="59" s="1"/>
  <c r="J210" i="59" s="1"/>
  <c r="R480" i="59"/>
  <c r="AH480" i="59" s="1"/>
  <c r="C482" i="59" s="1"/>
  <c r="G173" i="59"/>
  <c r="Y161" i="59"/>
  <c r="Z161" i="59"/>
  <c r="W161" i="59"/>
  <c r="I210" i="59"/>
  <c r="Y213" i="59"/>
  <c r="AA172" i="59"/>
  <c r="AE172" i="59" s="1"/>
  <c r="AH172" i="59" s="1"/>
  <c r="S209" i="59" s="1"/>
  <c r="AE176" i="59"/>
  <c r="AH176" i="59" s="1"/>
  <c r="AI176" i="59" s="1"/>
  <c r="AE175" i="59"/>
  <c r="AH175" i="59" s="1"/>
  <c r="AI175" i="59" s="1"/>
  <c r="P175" i="59"/>
  <c r="P176" i="59"/>
  <c r="D213" i="59"/>
  <c r="K173" i="59"/>
  <c r="AN63" i="61" l="1"/>
  <c r="AN64" i="61" s="1"/>
  <c r="AN65" i="61" s="1"/>
  <c r="P113" i="61" s="1"/>
  <c r="N87" i="61"/>
  <c r="O88" i="61"/>
  <c r="L582" i="59"/>
  <c r="O582" i="59" s="1"/>
  <c r="H172" i="59"/>
  <c r="H174" i="59"/>
  <c r="K172" i="59"/>
  <c r="O172" i="59" s="1"/>
  <c r="R172" i="59" s="1"/>
  <c r="E209" i="59" s="1"/>
  <c r="F174" i="59"/>
  <c r="K174" i="59" s="1"/>
  <c r="D405" i="59"/>
  <c r="D406" i="59" s="1"/>
  <c r="J582" i="59"/>
  <c r="N582" i="59" s="1"/>
  <c r="C23" i="22"/>
  <c r="C26" i="22" s="1"/>
  <c r="I172" i="59"/>
  <c r="I173" i="59"/>
  <c r="J173" i="59" s="1"/>
  <c r="L173" i="59" s="1"/>
  <c r="P173" i="59" s="1"/>
  <c r="S173" i="59" s="1"/>
  <c r="Q209" i="59"/>
  <c r="S213" i="59"/>
  <c r="AI172" i="59"/>
  <c r="S212" i="59"/>
  <c r="L213" i="59"/>
  <c r="S176" i="59"/>
  <c r="H213" i="59"/>
  <c r="C210" i="59"/>
  <c r="O173" i="59"/>
  <c r="R173" i="59" s="1"/>
  <c r="Y211" i="59"/>
  <c r="K176" i="59"/>
  <c r="K175" i="59"/>
  <c r="S175" i="59"/>
  <c r="Y212" i="59"/>
  <c r="Z213" i="59"/>
  <c r="X213" i="59"/>
  <c r="P95" i="61" l="1"/>
  <c r="P108" i="61"/>
  <c r="T108" i="61" s="1"/>
  <c r="P106" i="61"/>
  <c r="P112" i="61"/>
  <c r="P103" i="61"/>
  <c r="P102" i="61"/>
  <c r="V102" i="61" s="1"/>
  <c r="P99" i="61"/>
  <c r="P97" i="61"/>
  <c r="P114" i="61"/>
  <c r="W114" i="61" s="1"/>
  <c r="P115" i="61"/>
  <c r="V115" i="61" s="1"/>
  <c r="P100" i="61"/>
  <c r="T100" i="61" s="1"/>
  <c r="P98" i="61"/>
  <c r="P117" i="61"/>
  <c r="V117" i="61" s="1"/>
  <c r="P105" i="61"/>
  <c r="Q105" i="61" s="1"/>
  <c r="X106" i="61"/>
  <c r="U106" i="61"/>
  <c r="S106" i="61"/>
  <c r="T106" i="61"/>
  <c r="V106" i="61"/>
  <c r="R106" i="61"/>
  <c r="W106" i="61"/>
  <c r="Y106" i="61"/>
  <c r="Q106" i="61"/>
  <c r="Y114" i="61"/>
  <c r="V114" i="61"/>
  <c r="V103" i="61"/>
  <c r="T103" i="61"/>
  <c r="U103" i="61"/>
  <c r="W103" i="61"/>
  <c r="R103" i="61"/>
  <c r="Y103" i="61"/>
  <c r="Q103" i="61"/>
  <c r="S103" i="61"/>
  <c r="X103" i="61"/>
  <c r="R117" i="61"/>
  <c r="S117" i="61"/>
  <c r="W117" i="61"/>
  <c r="X117" i="61"/>
  <c r="Y117" i="61"/>
  <c r="W102" i="61"/>
  <c r="S102" i="61"/>
  <c r="U112" i="61"/>
  <c r="T112" i="61"/>
  <c r="Y112" i="61"/>
  <c r="S112" i="61"/>
  <c r="X112" i="61"/>
  <c r="W112" i="61"/>
  <c r="V112" i="61"/>
  <c r="R112" i="61"/>
  <c r="Q112" i="61"/>
  <c r="W105" i="61"/>
  <c r="R105" i="61"/>
  <c r="Y95" i="61"/>
  <c r="U95" i="61"/>
  <c r="V95" i="61"/>
  <c r="R95" i="61"/>
  <c r="W95" i="61"/>
  <c r="T95" i="61"/>
  <c r="Q95" i="61"/>
  <c r="S95" i="61"/>
  <c r="X95" i="61"/>
  <c r="W99" i="61"/>
  <c r="Y99" i="61"/>
  <c r="V99" i="61"/>
  <c r="R99" i="61"/>
  <c r="U99" i="61"/>
  <c r="T99" i="61"/>
  <c r="Q99" i="61"/>
  <c r="S99" i="61"/>
  <c r="X99" i="61"/>
  <c r="P111" i="61"/>
  <c r="P107" i="61"/>
  <c r="P110" i="61"/>
  <c r="P94" i="61"/>
  <c r="P96" i="61"/>
  <c r="P104" i="61"/>
  <c r="T97" i="61"/>
  <c r="R97" i="61"/>
  <c r="W97" i="61"/>
  <c r="V97" i="61"/>
  <c r="Y97" i="61"/>
  <c r="U97" i="61"/>
  <c r="Q97" i="61"/>
  <c r="S97" i="61"/>
  <c r="X97" i="61"/>
  <c r="T113" i="61"/>
  <c r="R113" i="61"/>
  <c r="Q113" i="61"/>
  <c r="X113" i="61"/>
  <c r="S113" i="61"/>
  <c r="U113" i="61"/>
  <c r="V113" i="61"/>
  <c r="Y113" i="61"/>
  <c r="W113" i="61"/>
  <c r="Y115" i="61"/>
  <c r="X115" i="61"/>
  <c r="P116" i="61"/>
  <c r="X108" i="61"/>
  <c r="Q108" i="61"/>
  <c r="P109" i="61"/>
  <c r="R98" i="61"/>
  <c r="W98" i="61"/>
  <c r="V98" i="61"/>
  <c r="U98" i="61"/>
  <c r="T98" i="61"/>
  <c r="Y98" i="61"/>
  <c r="Q98" i="61"/>
  <c r="S98" i="61"/>
  <c r="X98" i="61"/>
  <c r="P101" i="61"/>
  <c r="O89" i="61"/>
  <c r="N88" i="61"/>
  <c r="P582" i="59"/>
  <c r="Q582" i="59" s="1"/>
  <c r="C585" i="59" s="1"/>
  <c r="C586" i="59" s="1"/>
  <c r="D26" i="22" s="1"/>
  <c r="C209" i="59"/>
  <c r="G209" i="59" s="1"/>
  <c r="O174" i="59"/>
  <c r="R174" i="59" s="1"/>
  <c r="E211" i="59" s="1"/>
  <c r="C211" i="59"/>
  <c r="J172" i="59"/>
  <c r="AI213" i="59"/>
  <c r="F213" i="59"/>
  <c r="O213" i="59" s="1"/>
  <c r="F224" i="59" s="1"/>
  <c r="U209" i="59"/>
  <c r="Y209" i="59"/>
  <c r="M210" i="59"/>
  <c r="K210" i="59"/>
  <c r="O175" i="59"/>
  <c r="C213" i="59"/>
  <c r="O176" i="59"/>
  <c r="G210" i="59"/>
  <c r="Z212" i="59"/>
  <c r="X212" i="59"/>
  <c r="C212" i="59"/>
  <c r="D211" i="59"/>
  <c r="S174" i="59"/>
  <c r="D212" i="59"/>
  <c r="Z211" i="59"/>
  <c r="X211" i="59"/>
  <c r="F212" i="59"/>
  <c r="X210" i="59"/>
  <c r="Y210" i="59"/>
  <c r="D210" i="59"/>
  <c r="Z210" i="59"/>
  <c r="X114" i="61" l="1"/>
  <c r="U108" i="61"/>
  <c r="S115" i="61"/>
  <c r="U105" i="61"/>
  <c r="Q102" i="61"/>
  <c r="R108" i="61"/>
  <c r="V108" i="61"/>
  <c r="Q115" i="61"/>
  <c r="S105" i="61"/>
  <c r="Y102" i="61"/>
  <c r="Y108" i="61"/>
  <c r="Y105" i="61"/>
  <c r="T102" i="61"/>
  <c r="W108" i="61"/>
  <c r="R115" i="61"/>
  <c r="T105" i="61"/>
  <c r="X105" i="61"/>
  <c r="U102" i="61"/>
  <c r="S108" i="61"/>
  <c r="W115" i="61"/>
  <c r="V105" i="61"/>
  <c r="R102" i="61"/>
  <c r="X102" i="61"/>
  <c r="R114" i="61"/>
  <c r="S100" i="61"/>
  <c r="Q100" i="61"/>
  <c r="W100" i="61"/>
  <c r="R100" i="61"/>
  <c r="S114" i="61"/>
  <c r="X100" i="61"/>
  <c r="V100" i="61"/>
  <c r="U100" i="61"/>
  <c r="Q114" i="61"/>
  <c r="Y100" i="61"/>
  <c r="Y94" i="61"/>
  <c r="R94" i="61"/>
  <c r="V94" i="61"/>
  <c r="T94" i="61"/>
  <c r="U94" i="61"/>
  <c r="W94" i="61"/>
  <c r="Q94" i="61"/>
  <c r="S94" i="61"/>
  <c r="X94" i="61"/>
  <c r="Q109" i="61"/>
  <c r="U109" i="61"/>
  <c r="X109" i="61"/>
  <c r="V109" i="61"/>
  <c r="T109" i="61"/>
  <c r="S109" i="61"/>
  <c r="W109" i="61"/>
  <c r="Y109" i="61"/>
  <c r="R109" i="61"/>
  <c r="Q110" i="61"/>
  <c r="Y110" i="61"/>
  <c r="W110" i="61"/>
  <c r="T110" i="61"/>
  <c r="V110" i="61"/>
  <c r="X110" i="61"/>
  <c r="U110" i="61"/>
  <c r="S110" i="61"/>
  <c r="R110" i="61"/>
  <c r="W107" i="61"/>
  <c r="U107" i="61"/>
  <c r="T107" i="61"/>
  <c r="V107" i="61"/>
  <c r="Y107" i="61"/>
  <c r="S107" i="61"/>
  <c r="R107" i="61"/>
  <c r="X107" i="61"/>
  <c r="Q107" i="61"/>
  <c r="T111" i="61"/>
  <c r="U111" i="61"/>
  <c r="V111" i="61"/>
  <c r="X111" i="61"/>
  <c r="W111" i="61"/>
  <c r="S111" i="61"/>
  <c r="Y111" i="61"/>
  <c r="Q111" i="61"/>
  <c r="R111" i="61"/>
  <c r="Q116" i="61"/>
  <c r="X116" i="61"/>
  <c r="S116" i="61"/>
  <c r="R116" i="61"/>
  <c r="V116" i="61"/>
  <c r="W116" i="61"/>
  <c r="Y116" i="61"/>
  <c r="W104" i="61"/>
  <c r="S104" i="61"/>
  <c r="R104" i="61"/>
  <c r="T104" i="61"/>
  <c r="V104" i="61"/>
  <c r="Y104" i="61"/>
  <c r="U104" i="61"/>
  <c r="X104" i="61"/>
  <c r="Q104" i="61"/>
  <c r="W101" i="61"/>
  <c r="R101" i="61"/>
  <c r="Y101" i="61"/>
  <c r="U101" i="61"/>
  <c r="T101" i="61"/>
  <c r="V101" i="61"/>
  <c r="Q101" i="61"/>
  <c r="S101" i="61"/>
  <c r="X101" i="61"/>
  <c r="V96" i="61"/>
  <c r="U96" i="61"/>
  <c r="W96" i="61"/>
  <c r="R96" i="61"/>
  <c r="T96" i="61"/>
  <c r="Y96" i="61"/>
  <c r="Q96" i="61"/>
  <c r="S96" i="61"/>
  <c r="X96" i="61"/>
  <c r="N89" i="61"/>
  <c r="O90" i="61"/>
  <c r="M209" i="59"/>
  <c r="AE209" i="59" s="1"/>
  <c r="K209" i="59"/>
  <c r="M211" i="59"/>
  <c r="AE211" i="59" s="1"/>
  <c r="G211" i="59"/>
  <c r="K211" i="59"/>
  <c r="L172" i="59"/>
  <c r="P172" i="59" s="1"/>
  <c r="S172" i="59" s="1"/>
  <c r="T172" i="59" s="1"/>
  <c r="AH210" i="59"/>
  <c r="E210" i="59"/>
  <c r="N210" i="59" s="1"/>
  <c r="E221" i="59" s="1"/>
  <c r="AB209" i="59"/>
  <c r="L210" i="59"/>
  <c r="AF210" i="59" s="1"/>
  <c r="H212" i="59"/>
  <c r="L212" i="59"/>
  <c r="M213" i="59"/>
  <c r="AE213" i="59" s="1"/>
  <c r="K213" i="59"/>
  <c r="AF213" i="59" s="1"/>
  <c r="K212" i="59"/>
  <c r="M212" i="59"/>
  <c r="AE212" i="59" s="1"/>
  <c r="L211" i="59"/>
  <c r="R175" i="59"/>
  <c r="R176" i="59"/>
  <c r="F210" i="59"/>
  <c r="AE210" i="59"/>
  <c r="G213" i="59"/>
  <c r="AD213" i="59" s="1"/>
  <c r="G212" i="59"/>
  <c r="F211" i="59"/>
  <c r="T174" i="59"/>
  <c r="H211" i="59"/>
  <c r="H210" i="59"/>
  <c r="AD210" i="59" s="1"/>
  <c r="T173" i="59"/>
  <c r="V75" i="61" l="1"/>
  <c r="T75" i="61"/>
  <c r="R75" i="61"/>
  <c r="W75" i="61"/>
  <c r="U75" i="61"/>
  <c r="S75" i="61"/>
  <c r="X75" i="61"/>
  <c r="Y75" i="61"/>
  <c r="Q75" i="61"/>
  <c r="Q74" i="61" s="1"/>
  <c r="N90" i="61"/>
  <c r="O91" i="61"/>
  <c r="AH209" i="59"/>
  <c r="N209" i="59"/>
  <c r="E220" i="59" s="1"/>
  <c r="N211" i="59"/>
  <c r="E222" i="59" s="1"/>
  <c r="AF211" i="59"/>
  <c r="AD211" i="59"/>
  <c r="AH211" i="59"/>
  <c r="D209" i="59"/>
  <c r="L209" i="59" s="1"/>
  <c r="AF209" i="59" s="1"/>
  <c r="F209" i="59"/>
  <c r="AH212" i="59"/>
  <c r="AI212" i="59"/>
  <c r="AI210" i="59"/>
  <c r="AJ210" i="59" s="1"/>
  <c r="AH213" i="59"/>
  <c r="AJ213" i="59" s="1"/>
  <c r="AI211" i="59"/>
  <c r="E213" i="59"/>
  <c r="N213" i="59" s="1"/>
  <c r="E212" i="59"/>
  <c r="N212" i="59" s="1"/>
  <c r="E223" i="59" s="1"/>
  <c r="AF212" i="59"/>
  <c r="O211" i="59"/>
  <c r="F222" i="59" s="1"/>
  <c r="O212" i="59"/>
  <c r="F223" i="59" s="1"/>
  <c r="O210" i="59"/>
  <c r="F221" i="59" s="1"/>
  <c r="G221" i="59" s="1"/>
  <c r="AD212" i="59"/>
  <c r="T176" i="59"/>
  <c r="T175" i="59"/>
  <c r="AB212" i="59" s="1"/>
  <c r="K223" i="59" s="1"/>
  <c r="AB211" i="59"/>
  <c r="K222" i="59" s="1"/>
  <c r="AB210" i="59"/>
  <c r="K221" i="59" s="1"/>
  <c r="Q72" i="61" l="1"/>
  <c r="R74" i="61"/>
  <c r="S74" i="61" s="1"/>
  <c r="N91" i="61"/>
  <c r="O92" i="61"/>
  <c r="G222" i="59"/>
  <c r="Q237" i="59"/>
  <c r="Q236" i="59"/>
  <c r="Q238" i="59"/>
  <c r="AJ211" i="59"/>
  <c r="H209" i="59"/>
  <c r="AD209" i="59" s="1"/>
  <c r="I405" i="59" s="1"/>
  <c r="C202" i="59"/>
  <c r="AJ212" i="59"/>
  <c r="E224" i="59"/>
  <c r="G224" i="59" s="1"/>
  <c r="AB213" i="59"/>
  <c r="K224" i="59" s="1"/>
  <c r="N224" i="59" s="1"/>
  <c r="N223" i="59"/>
  <c r="G223" i="59"/>
  <c r="N222" i="59"/>
  <c r="K220" i="59"/>
  <c r="N221" i="59"/>
  <c r="K232" i="59" s="1"/>
  <c r="T74" i="61" l="1"/>
  <c r="T72" i="61" s="1"/>
  <c r="S72" i="61"/>
  <c r="R72" i="61"/>
  <c r="N92" i="61"/>
  <c r="O93" i="61"/>
  <c r="Q232" i="59"/>
  <c r="Q233" i="59"/>
  <c r="K233" i="59"/>
  <c r="N233" i="59" s="1"/>
  <c r="K238" i="59"/>
  <c r="K237" i="59"/>
  <c r="K236" i="59"/>
  <c r="AI209" i="59"/>
  <c r="AJ209" i="59" s="1"/>
  <c r="O209" i="59"/>
  <c r="F220" i="59" s="1"/>
  <c r="G220" i="59" s="1"/>
  <c r="C7" i="22"/>
  <c r="N232" i="59"/>
  <c r="U74" i="61" l="1"/>
  <c r="U72" i="61" s="1"/>
  <c r="N93" i="61"/>
  <c r="O94" i="61"/>
  <c r="L238" i="59"/>
  <c r="N238" i="59"/>
  <c r="O238" i="59" s="1"/>
  <c r="Q231" i="59"/>
  <c r="Q230" i="59"/>
  <c r="Q229" i="59"/>
  <c r="L236" i="59"/>
  <c r="N236" i="59"/>
  <c r="O236" i="59" s="1"/>
  <c r="L237" i="59"/>
  <c r="N237" i="59"/>
  <c r="O237" i="59" s="1"/>
  <c r="N220" i="59"/>
  <c r="AA210" i="59"/>
  <c r="J221" i="59" s="1"/>
  <c r="J220" i="59"/>
  <c r="L220" i="59" s="1"/>
  <c r="O220" i="59" s="1"/>
  <c r="P220" i="59" s="1"/>
  <c r="AA213" i="59"/>
  <c r="J224" i="59" s="1"/>
  <c r="AA211" i="59"/>
  <c r="J222" i="59" s="1"/>
  <c r="AA212" i="59"/>
  <c r="J223" i="59" s="1"/>
  <c r="V74" i="61" l="1"/>
  <c r="N94" i="61"/>
  <c r="O95" i="61"/>
  <c r="E405" i="59"/>
  <c r="K231" i="59"/>
  <c r="N231" i="59" s="1"/>
  <c r="K230" i="59"/>
  <c r="N230" i="59" s="1"/>
  <c r="K229" i="59"/>
  <c r="N229" i="59" s="1"/>
  <c r="M221" i="59"/>
  <c r="J230" i="59" s="1"/>
  <c r="L221" i="59"/>
  <c r="L223" i="59"/>
  <c r="O223" i="59" s="1"/>
  <c r="P223" i="59" s="1"/>
  <c r="M223" i="59"/>
  <c r="J235" i="59" s="1"/>
  <c r="L224" i="59"/>
  <c r="O224" i="59" s="1"/>
  <c r="P224" i="59" s="1"/>
  <c r="M224" i="59"/>
  <c r="M220" i="59"/>
  <c r="J229" i="59" s="1"/>
  <c r="M222" i="59"/>
  <c r="L222" i="59"/>
  <c r="O222" i="59" s="1"/>
  <c r="P222" i="59" s="1"/>
  <c r="W74" i="61" l="1"/>
  <c r="V72" i="61"/>
  <c r="N95" i="61"/>
  <c r="O96" i="61"/>
  <c r="J231" i="59"/>
  <c r="M231" i="59" s="1"/>
  <c r="O231" i="59" s="1"/>
  <c r="J234" i="59"/>
  <c r="L235" i="59"/>
  <c r="M235" i="59"/>
  <c r="O235" i="59" s="1"/>
  <c r="J233" i="59"/>
  <c r="L233" i="59" s="1"/>
  <c r="G405" i="59"/>
  <c r="H405" i="59" s="1"/>
  <c r="L405" i="59"/>
  <c r="O405" i="59" s="1"/>
  <c r="J232" i="59"/>
  <c r="M232" i="59" s="1"/>
  <c r="O232" i="59" s="1"/>
  <c r="M229" i="59"/>
  <c r="O229" i="59" s="1"/>
  <c r="L229" i="59"/>
  <c r="M230" i="59"/>
  <c r="O230" i="59" s="1"/>
  <c r="L230" i="59"/>
  <c r="O221" i="59"/>
  <c r="P221" i="59" s="1"/>
  <c r="X72" i="61" l="1"/>
  <c r="W72" i="61"/>
  <c r="AA73" i="61" s="1"/>
  <c r="N96" i="61"/>
  <c r="O97" i="61"/>
  <c r="L231" i="59"/>
  <c r="M233" i="59"/>
  <c r="O233" i="59" s="1"/>
  <c r="L234" i="59"/>
  <c r="M234" i="59"/>
  <c r="O234" i="59" s="1"/>
  <c r="E243" i="59" s="1"/>
  <c r="C10" i="22" s="1"/>
  <c r="E242" i="59"/>
  <c r="C9" i="22" s="1"/>
  <c r="E241" i="59"/>
  <c r="J405" i="59" s="1"/>
  <c r="L232" i="59"/>
  <c r="G17" i="61" l="1"/>
  <c r="F17" i="61"/>
  <c r="I17" i="61"/>
  <c r="D17" i="61"/>
  <c r="C17" i="61"/>
  <c r="E17" i="61"/>
  <c r="H17" i="61"/>
  <c r="Y74" i="61"/>
  <c r="X39" i="61" s="1"/>
  <c r="N97" i="61"/>
  <c r="O98" i="61"/>
  <c r="E244" i="59"/>
  <c r="E246" i="59" s="1"/>
  <c r="I246" i="59" s="1"/>
  <c r="C11" i="22" s="1"/>
  <c r="C8" i="22"/>
  <c r="Y72" i="61" l="1"/>
  <c r="I12" i="61"/>
  <c r="U31" i="61"/>
  <c r="G4" i="61" s="1"/>
  <c r="V48" i="61"/>
  <c r="W48" i="61" s="1"/>
  <c r="X48" i="61" s="1"/>
  <c r="Y48" i="61" s="1"/>
  <c r="V31" i="61"/>
  <c r="H4" i="61" s="1"/>
  <c r="Y52" i="61"/>
  <c r="F12" i="61"/>
  <c r="Y46" i="61"/>
  <c r="X46" i="61"/>
  <c r="G12" i="61"/>
  <c r="Y41" i="61"/>
  <c r="K14" i="61" s="1"/>
  <c r="Y53" i="61"/>
  <c r="X53" i="61" s="1"/>
  <c r="W53" i="61" s="1"/>
  <c r="V53" i="61" s="1"/>
  <c r="X41" i="61"/>
  <c r="J14" i="61" s="1"/>
  <c r="J12" i="61"/>
  <c r="X57" i="61"/>
  <c r="Y57" i="61"/>
  <c r="Y55" i="61"/>
  <c r="X55" i="61" s="1"/>
  <c r="W55" i="61" s="1"/>
  <c r="V55" i="61" s="1"/>
  <c r="E12" i="61"/>
  <c r="Y54" i="61"/>
  <c r="X54" i="61" s="1"/>
  <c r="W54" i="61" s="1"/>
  <c r="V54" i="61" s="1"/>
  <c r="Y39" i="61"/>
  <c r="K12" i="61" s="1"/>
  <c r="D12" i="61"/>
  <c r="Y51" i="61"/>
  <c r="X51" i="61" s="1"/>
  <c r="W51" i="61" s="1"/>
  <c r="V51" i="61" s="1"/>
  <c r="C12" i="61"/>
  <c r="H12" i="61"/>
  <c r="N98" i="61"/>
  <c r="O99" i="61"/>
  <c r="N405" i="59"/>
  <c r="O100" i="61" l="1"/>
  <c r="N99" i="61"/>
  <c r="P405" i="59"/>
  <c r="O101" i="61" l="1"/>
  <c r="N100" i="61"/>
  <c r="Q405" i="59"/>
  <c r="O102" i="61" l="1"/>
  <c r="N101" i="61"/>
  <c r="C408" i="59"/>
  <c r="C410" i="59" s="1"/>
  <c r="D11" i="22" s="1"/>
  <c r="N102" i="61" l="1"/>
  <c r="O103" i="61"/>
  <c r="X52" i="61"/>
  <c r="W52" i="61" s="1"/>
  <c r="O104" i="61" l="1"/>
  <c r="N103" i="61"/>
  <c r="V52" i="61"/>
  <c r="N104" i="61" l="1"/>
  <c r="O105" i="61"/>
  <c r="O106" i="61" l="1"/>
  <c r="N105" i="61"/>
  <c r="N106" i="61" l="1"/>
  <c r="O107" i="61"/>
  <c r="O108" i="61" l="1"/>
  <c r="N107" i="61"/>
  <c r="N108" i="61" l="1"/>
  <c r="O109" i="61"/>
  <c r="N109" i="61" l="1"/>
  <c r="O110" i="61"/>
  <c r="N110" i="61" l="1"/>
  <c r="O111" i="61"/>
  <c r="N111" i="61" l="1"/>
  <c r="O112" i="61"/>
  <c r="N112" i="61" l="1"/>
  <c r="O113" i="61"/>
  <c r="N113" i="61" l="1"/>
  <c r="O114" i="61"/>
  <c r="N114" i="61" l="1"/>
  <c r="O115" i="61"/>
  <c r="N115" i="61" l="1"/>
  <c r="O116" i="61"/>
  <c r="N116" i="61" l="1"/>
  <c r="O117" i="61"/>
  <c r="N117" i="61" s="1"/>
  <c r="N45" i="61" s="1"/>
  <c r="K18" i="61" s="1"/>
  <c r="B19" i="61" l="1"/>
  <c r="C19" i="61"/>
  <c r="F19" i="61"/>
  <c r="N46" i="61"/>
  <c r="N47" i="61" s="1"/>
  <c r="N48" i="61" s="1"/>
  <c r="N49" i="61" s="1"/>
  <c r="N50" i="61" s="1"/>
  <c r="N51" i="61" s="1"/>
  <c r="N52" i="61" s="1"/>
  <c r="N53" i="61" s="1"/>
  <c r="N54" i="61" s="1"/>
  <c r="N55" i="61" s="1"/>
  <c r="N56" i="61" s="1"/>
  <c r="N57" i="61" s="1"/>
  <c r="N58" i="61" s="1"/>
  <c r="N59" i="61" s="1"/>
  <c r="N60" i="61" s="1"/>
  <c r="N61" i="61" s="1"/>
  <c r="N62" i="61" s="1"/>
  <c r="N63" i="61" s="1"/>
  <c r="N64" i="61" s="1"/>
  <c r="N65" i="61" s="1"/>
  <c r="N66" i="61" s="1"/>
  <c r="N67" i="61" s="1"/>
  <c r="H24" i="61"/>
  <c r="I22" i="61"/>
  <c r="K30" i="61"/>
  <c r="I19" i="61"/>
  <c r="B22" i="61"/>
  <c r="H20" i="61"/>
  <c r="F23" i="61"/>
  <c r="F18" i="61"/>
  <c r="H18" i="61"/>
  <c r="K20" i="61"/>
  <c r="C23" i="61"/>
  <c r="F30" i="61"/>
  <c r="F27" i="61"/>
  <c r="K28" i="61"/>
  <c r="F37" i="61"/>
  <c r="J26" i="61"/>
  <c r="D34" i="61"/>
  <c r="E40" i="61"/>
  <c r="H25" i="61"/>
  <c r="H31" i="61"/>
  <c r="G27" i="61"/>
  <c r="C31" i="61"/>
  <c r="H22" i="61"/>
  <c r="J40" i="61"/>
  <c r="J39" i="61"/>
  <c r="I31" i="61"/>
  <c r="D31" i="61"/>
  <c r="C39" i="61"/>
  <c r="E69" i="61"/>
  <c r="D38" i="61"/>
  <c r="E31" i="61"/>
  <c r="B20" i="61"/>
  <c r="H32" i="61"/>
  <c r="D24" i="61"/>
  <c r="F21" i="61"/>
  <c r="B24" i="61"/>
  <c r="G23" i="61"/>
  <c r="I18" i="61"/>
  <c r="E24" i="61"/>
  <c r="D18" i="61"/>
  <c r="D25" i="61"/>
  <c r="G19" i="61"/>
  <c r="G22" i="61"/>
  <c r="C28" i="61"/>
  <c r="I28" i="61"/>
  <c r="F38" i="61"/>
  <c r="H35" i="61"/>
  <c r="K41" i="61"/>
  <c r="K38" i="61"/>
  <c r="E32" i="61"/>
  <c r="H36" i="61"/>
  <c r="H23" i="61"/>
  <c r="G29" i="61"/>
  <c r="H39" i="61"/>
  <c r="G25" i="61"/>
  <c r="H21" i="61"/>
  <c r="E18" i="61"/>
  <c r="E39" i="61"/>
  <c r="B21" i="61"/>
  <c r="D20" i="61"/>
  <c r="E25" i="61"/>
  <c r="I26" i="61"/>
  <c r="C18" i="61"/>
  <c r="F20" i="61"/>
  <c r="D19" i="61"/>
  <c r="F26" i="61"/>
  <c r="E35" i="61"/>
  <c r="I29" i="61"/>
  <c r="F29" i="61"/>
  <c r="C33" i="61"/>
  <c r="H41" i="61"/>
  <c r="I39" i="61"/>
  <c r="G41" i="61"/>
  <c r="E38" i="61"/>
  <c r="J21" i="61"/>
  <c r="E30" i="61"/>
  <c r="D21" i="61"/>
  <c r="G32" i="61"/>
  <c r="I32" i="61"/>
  <c r="G40" i="61"/>
  <c r="K42" i="61"/>
  <c r="D26" i="61"/>
  <c r="I40" i="61"/>
  <c r="I34" i="61"/>
  <c r="D37" i="61"/>
  <c r="K26" i="61"/>
  <c r="I35" i="61"/>
  <c r="E42" i="61"/>
  <c r="E22" i="61"/>
  <c r="E41" i="61"/>
  <c r="H34" i="61"/>
  <c r="B25" i="61"/>
  <c r="J18" i="61"/>
  <c r="G18" i="61"/>
  <c r="D22" i="61"/>
  <c r="K19" i="61"/>
  <c r="J19" i="61"/>
  <c r="H19" i="61"/>
  <c r="D27" i="61"/>
  <c r="D28" i="61"/>
  <c r="J35" i="61"/>
  <c r="K27" i="61"/>
  <c r="E34" i="61"/>
  <c r="H28" i="61"/>
  <c r="I24" i="61"/>
  <c r="F40" i="61"/>
  <c r="J23" i="61"/>
  <c r="F22" i="61"/>
  <c r="G30" i="61"/>
  <c r="F32" i="61"/>
  <c r="K32" i="61"/>
  <c r="K36" i="61"/>
  <c r="H44" i="61"/>
  <c r="G31" i="61"/>
  <c r="K35" i="61"/>
  <c r="E19" i="61"/>
  <c r="K34" i="61"/>
  <c r="C34" i="61"/>
  <c r="C41" i="61"/>
  <c r="J24" i="61"/>
  <c r="I42" i="61"/>
  <c r="E54" i="61"/>
  <c r="B36" i="61"/>
  <c r="B34" i="61"/>
  <c r="B41" i="61"/>
  <c r="B31" i="61"/>
  <c r="G53" i="61"/>
  <c r="H37" i="61"/>
  <c r="G28" i="61"/>
  <c r="B35" i="61"/>
  <c r="B77" i="61"/>
  <c r="K39" i="61"/>
  <c r="I53" i="61"/>
  <c r="J42" i="61"/>
  <c r="B75" i="61"/>
  <c r="I41" i="61"/>
  <c r="I27" i="61"/>
  <c r="B33" i="61"/>
  <c r="H49" i="61"/>
  <c r="B37" i="61"/>
  <c r="B40" i="61"/>
  <c r="B32" i="61"/>
  <c r="B39" i="61"/>
  <c r="G39" i="61"/>
  <c r="E27" i="61"/>
  <c r="C40" i="61"/>
  <c r="B74" i="61"/>
  <c r="H42" i="61"/>
  <c r="F42" i="61"/>
  <c r="B28" i="61"/>
  <c r="G33" i="61"/>
  <c r="K40" i="61"/>
  <c r="H45" i="61"/>
  <c r="B38" i="61"/>
  <c r="H55" i="61"/>
  <c r="E68" i="61"/>
  <c r="G34" i="61"/>
  <c r="B30" i="61"/>
  <c r="B42" i="61"/>
  <c r="B78" i="61"/>
  <c r="J30" i="61"/>
  <c r="K37" i="61"/>
  <c r="K31" i="61"/>
  <c r="B69" i="61"/>
  <c r="I55" i="61"/>
  <c r="B29" i="61"/>
  <c r="F36" i="61"/>
  <c r="J36" i="61" l="1"/>
  <c r="I37" i="61"/>
  <c r="F31" i="61"/>
  <c r="D43" i="61"/>
  <c r="F33" i="61"/>
  <c r="F35" i="61"/>
  <c r="J38" i="61"/>
  <c r="E26" i="61"/>
  <c r="H27" i="61"/>
  <c r="D40" i="61"/>
  <c r="K29" i="61"/>
  <c r="C21" i="61"/>
  <c r="D36" i="61"/>
  <c r="J20" i="61"/>
  <c r="D39" i="61"/>
  <c r="G21" i="61"/>
  <c r="K24" i="61"/>
  <c r="D41" i="61"/>
  <c r="K23" i="61"/>
  <c r="I36" i="61"/>
  <c r="D29" i="61"/>
  <c r="J22" i="61"/>
  <c r="C42" i="61"/>
  <c r="J27" i="61"/>
  <c r="J32" i="61"/>
  <c r="H38" i="61"/>
  <c r="C24" i="61"/>
  <c r="C22" i="61"/>
  <c r="E37" i="61"/>
  <c r="F24" i="61"/>
  <c r="E23" i="61"/>
  <c r="J33" i="61"/>
  <c r="D23" i="61"/>
  <c r="H26" i="61"/>
  <c r="C27" i="61"/>
  <c r="H30" i="61"/>
  <c r="G36" i="61"/>
  <c r="J25" i="61"/>
  <c r="G26" i="61"/>
  <c r="J46" i="61"/>
  <c r="C37" i="61"/>
  <c r="G20" i="61"/>
  <c r="I38" i="61"/>
  <c r="I33" i="61"/>
  <c r="E28" i="61"/>
  <c r="B26" i="61"/>
  <c r="C36" i="61"/>
  <c r="F28" i="61"/>
  <c r="J37" i="61"/>
  <c r="C20" i="61"/>
  <c r="C35" i="61"/>
  <c r="K25" i="61"/>
  <c r="F39" i="61"/>
  <c r="E29" i="61"/>
  <c r="F34" i="61"/>
  <c r="H29" i="61"/>
  <c r="D33" i="61"/>
  <c r="I20" i="61"/>
  <c r="G37" i="61"/>
  <c r="G38" i="61"/>
  <c r="J31" i="61"/>
  <c r="E36" i="61"/>
  <c r="K21" i="61"/>
  <c r="I23" i="61"/>
  <c r="H33" i="61"/>
  <c r="I25" i="61"/>
  <c r="F25" i="61"/>
  <c r="E20" i="61"/>
  <c r="C32" i="61"/>
  <c r="B27" i="61"/>
  <c r="C38" i="61"/>
  <c r="C26" i="61"/>
  <c r="G24" i="61"/>
  <c r="J34" i="61"/>
  <c r="K22" i="61"/>
  <c r="I30" i="61"/>
  <c r="I21" i="61"/>
  <c r="D30" i="61"/>
  <c r="J29" i="61"/>
  <c r="C29" i="61"/>
  <c r="G35" i="61"/>
  <c r="B23" i="61"/>
  <c r="C30" i="61"/>
  <c r="J28" i="61"/>
  <c r="E21" i="61"/>
  <c r="K33" i="61"/>
  <c r="D35" i="61"/>
  <c r="E33" i="61"/>
  <c r="D32" i="61"/>
  <c r="C25" i="61"/>
  <c r="G42" i="61"/>
  <c r="F41" i="61"/>
  <c r="J41" i="61"/>
  <c r="H40" i="61"/>
  <c r="D42" i="61"/>
  <c r="H43" i="61"/>
  <c r="I43" i="61"/>
  <c r="F52" i="61"/>
  <c r="D45" i="61"/>
  <c r="B66" i="61"/>
  <c r="B59" i="61"/>
  <c r="C52" i="61"/>
  <c r="C50" i="61"/>
  <c r="I50" i="61"/>
  <c r="J54" i="61"/>
  <c r="J70" i="61"/>
  <c r="D51" i="61"/>
  <c r="G55" i="61"/>
  <c r="H70" i="61"/>
  <c r="B65" i="61"/>
  <c r="E57" i="61"/>
  <c r="B55" i="61"/>
  <c r="C48" i="61"/>
  <c r="B80" i="61"/>
  <c r="B82" i="61"/>
  <c r="I69" i="61"/>
  <c r="B45" i="61"/>
  <c r="B58" i="61"/>
  <c r="F44" i="61"/>
  <c r="G54" i="61"/>
  <c r="E45" i="61"/>
  <c r="K58" i="61"/>
  <c r="J58" i="61"/>
  <c r="K47" i="61"/>
  <c r="D68" i="61"/>
  <c r="J45" i="61"/>
  <c r="J69" i="61"/>
  <c r="C44" i="61"/>
  <c r="F45" i="61"/>
  <c r="B43" i="61"/>
  <c r="H69" i="61"/>
  <c r="C69" i="61"/>
  <c r="D57" i="61"/>
  <c r="G43" i="61"/>
  <c r="B60" i="61"/>
  <c r="B64" i="61"/>
  <c r="K70" i="61"/>
  <c r="G49" i="61"/>
  <c r="F43" i="61"/>
  <c r="E51" i="61"/>
  <c r="K44" i="61"/>
  <c r="I54" i="61"/>
  <c r="G44" i="61"/>
  <c r="J49" i="61"/>
  <c r="G57" i="61"/>
  <c r="C54" i="61"/>
  <c r="B48" i="61"/>
  <c r="G56" i="61"/>
  <c r="B57" i="61"/>
  <c r="B56" i="61"/>
  <c r="E53" i="61"/>
  <c r="K51" i="61"/>
  <c r="I70" i="61"/>
  <c r="G58" i="61"/>
  <c r="G70" i="61"/>
  <c r="E43" i="61"/>
  <c r="B72" i="61"/>
  <c r="C68" i="61"/>
  <c r="B70" i="61"/>
  <c r="B63" i="61"/>
  <c r="K52" i="61"/>
  <c r="B52" i="61"/>
  <c r="G47" i="61"/>
  <c r="D56" i="61"/>
  <c r="B46" i="61"/>
  <c r="C47" i="61"/>
  <c r="B54" i="61"/>
  <c r="B44" i="61"/>
  <c r="G51" i="61"/>
  <c r="B47" i="61"/>
  <c r="B79" i="61"/>
  <c r="I44" i="61"/>
  <c r="B49" i="61"/>
  <c r="E46" i="61"/>
  <c r="I46" i="61"/>
  <c r="F50" i="61"/>
  <c r="K45" i="61"/>
  <c r="E52" i="61"/>
  <c r="B76" i="61"/>
  <c r="D46" i="61"/>
  <c r="F68" i="61"/>
  <c r="B68" i="61"/>
  <c r="K68" i="61"/>
  <c r="I57" i="61"/>
  <c r="J52" i="61"/>
  <c r="F54" i="61"/>
  <c r="E48" i="61"/>
  <c r="E58" i="61"/>
  <c r="H48" i="61"/>
  <c r="H50" i="61"/>
  <c r="J68" i="61"/>
  <c r="C46" i="61"/>
  <c r="C53" i="61"/>
  <c r="H46" i="61"/>
  <c r="E70" i="61"/>
  <c r="B81" i="61"/>
  <c r="D58" i="61"/>
  <c r="K43" i="61"/>
  <c r="B61" i="61"/>
  <c r="C70" i="61"/>
  <c r="J43" i="61"/>
  <c r="B73" i="61"/>
  <c r="J47" i="61"/>
  <c r="J50" i="61"/>
  <c r="C51" i="61"/>
  <c r="I56" i="61"/>
  <c r="H58" i="61"/>
  <c r="F70" i="61"/>
  <c r="B67" i="61"/>
  <c r="E50" i="61"/>
  <c r="F69" i="61"/>
  <c r="G50" i="61"/>
  <c r="K56" i="61"/>
  <c r="J51" i="61"/>
  <c r="J55" i="61"/>
  <c r="G45" i="61"/>
  <c r="C45" i="61"/>
  <c r="B53" i="61"/>
  <c r="C56" i="61"/>
  <c r="H52" i="61"/>
  <c r="B51" i="61"/>
  <c r="I48" i="61"/>
  <c r="B71" i="61"/>
  <c r="I45" i="61"/>
  <c r="C57" i="61"/>
  <c r="J44" i="61"/>
  <c r="E44" i="61"/>
  <c r="C43" i="61"/>
  <c r="F53" i="61"/>
  <c r="E49" i="61"/>
  <c r="G46" i="61"/>
  <c r="F56" i="61"/>
  <c r="D70" i="61"/>
  <c r="G48" i="61"/>
  <c r="B83" i="61"/>
  <c r="I68" i="61"/>
  <c r="I51" i="61"/>
  <c r="I58" i="61"/>
  <c r="B50" i="61"/>
  <c r="G68" i="61"/>
  <c r="K49" i="61"/>
  <c r="G69" i="61"/>
  <c r="C49" i="61"/>
  <c r="K57" i="61"/>
  <c r="K53" i="61"/>
  <c r="K69" i="61"/>
  <c r="J57" i="61"/>
  <c r="H51" i="61"/>
  <c r="F47" i="61"/>
  <c r="J56" i="61"/>
  <c r="J48" i="61"/>
  <c r="I52" i="61"/>
  <c r="D69" i="61"/>
  <c r="F57" i="61"/>
  <c r="K46" i="61"/>
  <c r="G52" i="61"/>
  <c r="F46" i="61"/>
  <c r="B62" i="61"/>
  <c r="F58" i="61"/>
  <c r="D53" i="61"/>
  <c r="D47" i="61"/>
  <c r="D54" i="61"/>
  <c r="E56" i="61"/>
  <c r="D52" i="61"/>
  <c r="F49" i="61"/>
  <c r="D49" i="61"/>
  <c r="K50" i="61"/>
  <c r="F48" i="61"/>
  <c r="H54" i="61"/>
  <c r="I47" i="61"/>
  <c r="K55" i="61"/>
  <c r="I49" i="61"/>
  <c r="D48" i="61"/>
  <c r="H57" i="61"/>
  <c r="E47" i="61"/>
  <c r="F55" i="61"/>
  <c r="F51" i="61"/>
  <c r="H47" i="61"/>
  <c r="K54" i="61"/>
  <c r="H53" i="61"/>
  <c r="D55" i="61"/>
  <c r="C58" i="61"/>
  <c r="E55" i="61"/>
  <c r="C55" i="61"/>
  <c r="H68" i="61"/>
  <c r="H56" i="61"/>
  <c r="K48" i="61"/>
  <c r="D44" i="61"/>
  <c r="J53" i="61"/>
  <c r="D50"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54" authorId="0" shapeId="0" xr:uid="{00000000-0006-0000-0200-000001000000}">
      <text>
        <r>
          <rPr>
            <b/>
            <sz val="9"/>
            <color indexed="81"/>
            <rFont val="Tahoma"/>
            <family val="2"/>
          </rPr>
          <t>8-31kg</t>
        </r>
        <r>
          <rPr>
            <sz val="9"/>
            <color indexed="81"/>
            <rFont val="Tahoma"/>
            <family val="2"/>
          </rPr>
          <t xml:space="preserve">
</t>
        </r>
      </text>
    </comment>
    <comment ref="C380" authorId="0" shapeId="0" xr:uid="{00000000-0006-0000-0200-000002000000}">
      <text>
        <r>
          <rPr>
            <sz val="9"/>
            <color indexed="81"/>
            <rFont val="Tahoma"/>
            <family val="2"/>
          </rPr>
          <t xml:space="preserve">On considère qu'un lisier composté va émettre autant qu'un fumier au stockage
</t>
        </r>
      </text>
    </comment>
    <comment ref="D470" authorId="0" shapeId="0" xr:uid="{00000000-0006-0000-0200-000003000000}">
      <text>
        <r>
          <rPr>
            <sz val="9"/>
            <color indexed="81"/>
            <rFont val="Tahoma"/>
            <family val="2"/>
          </rPr>
          <t>On applique les SV au nombre de place et pas aux effectifs car on multiplie ensuite par le nombre de jours</t>
        </r>
      </text>
    </comment>
    <comment ref="C544" authorId="0" shapeId="0" xr:uid="{00000000-0006-0000-0200-000004000000}">
      <text>
        <r>
          <rPr>
            <sz val="9"/>
            <color indexed="81"/>
            <rFont val="Tahoma"/>
            <family val="2"/>
          </rPr>
          <t>Basé sur la méthodologie ecosecurities</t>
        </r>
      </text>
    </comment>
    <comment ref="C581" authorId="0" shapeId="0" xr:uid="{00000000-0006-0000-0200-000005000000}">
      <text>
        <r>
          <rPr>
            <sz val="9"/>
            <color indexed="81"/>
            <rFont val="Tahoma"/>
            <family val="2"/>
          </rPr>
          <t>IPCC 2006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10" authorId="0" shapeId="0" xr:uid="{00000000-0006-0000-0300-000001000000}">
      <text>
        <r>
          <rPr>
            <sz val="9"/>
            <color indexed="81"/>
            <rFont val="Tahoma"/>
            <family val="2"/>
          </rPr>
          <t>La localisation de l'exploitation permet d'affiner le calcul des émissions pour le méthane (CH4)</t>
        </r>
      </text>
    </comment>
    <comment ref="B14" authorId="0" shapeId="0" xr:uid="{00000000-0006-0000-0300-000002000000}">
      <text>
        <r>
          <rPr>
            <sz val="9"/>
            <color indexed="81"/>
            <rFont val="Tahoma"/>
            <family val="2"/>
          </rPr>
          <t>Le nom des bâtiments est laissé libre au choix du déclarant, il est préférable de choisir des noms explicites afin de faciliter le suivi de la déclaration (exemples : batiment truies en maternité, batiment d'engraissement de 100 places, etc.)</t>
        </r>
      </text>
    </comment>
    <comment ref="B38" authorId="0" shapeId="0" xr:uid="{00000000-0006-0000-0300-000003000000}">
      <text>
        <r>
          <rPr>
            <sz val="9"/>
            <color indexed="81"/>
            <rFont val="Tahoma"/>
            <family val="2"/>
          </rPr>
          <t>Nombre de places théorique pour l’exploitation pour la catégorie animale élevée, tous bâtiments confondus.</t>
        </r>
      </text>
    </comment>
    <comment ref="B39" authorId="0" shapeId="0" xr:uid="{00000000-0006-0000-0300-000004000000}">
      <text>
        <r>
          <rPr>
            <sz val="9"/>
            <color indexed="81"/>
            <rFont val="Tahoma"/>
            <family val="2"/>
          </rPr>
          <t xml:space="preserve">Le taux d'occupation vaut généralement : 
- 90% pour les truies (10% du temps correspond au vide sanitaire)
- 95% pour les porcelets en post-sevrage et les porcs de production (5% du temps correspond au vide sanitaire)
Ce taux d'occupation peut être ajusté par le déclarant.
</t>
        </r>
      </text>
    </comment>
    <comment ref="B40" authorId="0" shapeId="0" xr:uid="{00000000-0006-0000-0300-000005000000}">
      <text>
        <r>
          <rPr>
            <sz val="9"/>
            <color indexed="81"/>
            <rFont val="Tahoma"/>
            <family val="2"/>
          </rPr>
          <t>Le taux d'activité vaut :
• 100% si le fonctionnement de l’élevage a été normal tout au long de l’année,
• (‘Le nombre de jours de fonctionnement’/365) x 100 en cas d’arrêt momentané ou définitif de la production de tout ou partie de l’élevage (il s’agit de circonstances exceptionnelles et en aucun cas des vides sanitaires à durée normale).</t>
        </r>
      </text>
    </comment>
    <comment ref="B41" authorId="0" shapeId="0" xr:uid="{00000000-0006-0000-0300-000006000000}">
      <text>
        <r>
          <rPr>
            <sz val="9"/>
            <color indexed="81"/>
            <rFont val="Tahoma"/>
            <family val="2"/>
          </rPr>
          <t xml:space="preserve">Les modalités de gestion de l'alimentation permettent de déterminer le facteur d'excrétion le plus adapté. Ce paramètre n'est pas utilisé si une donnée d'excrétion spécifique est renseignée.
</t>
        </r>
      </text>
    </comment>
    <comment ref="B43" authorId="0" shapeId="0" xr:uid="{00000000-0006-0000-0300-000007000000}">
      <text>
        <r>
          <rPr>
            <sz val="9"/>
            <color indexed="81"/>
            <rFont val="Tahoma"/>
            <family val="2"/>
          </rPr>
          <t>Valeurs basées sur les moyennes observées parmi les élevages de la filière. Ces valeurs sont fonctions du type d'élevage (engraisseur ou naisseur engraisseur)</t>
        </r>
        <r>
          <rPr>
            <b/>
            <sz val="9"/>
            <color indexed="81"/>
            <rFont val="Tahoma"/>
            <family val="2"/>
          </rPr>
          <t xml:space="preserve">
</t>
        </r>
      </text>
    </comment>
    <comment ref="B44" authorId="0" shapeId="0" xr:uid="{00000000-0006-0000-0300-000008000000}">
      <text>
        <r>
          <rPr>
            <sz val="9"/>
            <color indexed="81"/>
            <rFont val="Tahoma"/>
            <family val="2"/>
          </rPr>
          <t>Paramètre provenant d'un outil reconnu type BRS. A renseigner par catégorie animale par place</t>
        </r>
      </text>
    </comment>
    <comment ref="G53" authorId="0" shapeId="0" xr:uid="{00000000-0006-0000-0300-000009000000}">
      <text>
        <r>
          <rPr>
            <sz val="9"/>
            <color indexed="81"/>
            <rFont val="Tahoma"/>
            <family val="2"/>
          </rPr>
          <t>Il n'est possible de choisir qu'une seule modalité de gestion de l'ambiance par bâtiment. Il est conseillé de choisir la plus efficace relative au bâtiment (les modalités sont classées par efficacité).</t>
        </r>
      </text>
    </comment>
    <comment ref="H53" authorId="0" shapeId="0" xr:uid="{00000000-0006-0000-0300-00000A000000}">
      <text>
        <r>
          <rPr>
            <sz val="9"/>
            <color indexed="81"/>
            <rFont val="Tahoma"/>
            <family val="2"/>
          </rPr>
          <t>Concerne tout dispositif visant à réduire les émissions d'ammoniac en sortie de bâtiment.</t>
        </r>
      </text>
    </comment>
    <comment ref="I53" authorId="0" shapeId="0" xr:uid="{00000000-0006-0000-0300-00000B000000}">
      <text>
        <r>
          <rPr>
            <sz val="9"/>
            <color indexed="81"/>
            <rFont val="Tahoma"/>
            <family val="2"/>
          </rPr>
          <t xml:space="preserve"> % de réduction de NH3 à renseigner</t>
        </r>
      </text>
    </comment>
    <comment ref="B79" authorId="0" shapeId="0" xr:uid="{00000000-0006-0000-0300-00000C000000}">
      <text>
        <r>
          <rPr>
            <sz val="9"/>
            <color indexed="81"/>
            <rFont val="Tahoma"/>
            <family val="2"/>
          </rPr>
          <t>Le nom des ouvrages de traitement est laissé libre au choix du déclarant, il est préférable de choisir des noms explicites afin de faciliter le suivi de la déclaration (exemples : station de nitrification, séparation de phase du lisier d’engraissement, etc.).
En cas d'absence de traitement, ce tableau n'est pas à renseigner : passer directement au tableau 6 stockage.</t>
        </r>
      </text>
    </comment>
    <comment ref="G79" authorId="0" shapeId="0" xr:uid="{00000000-0006-0000-0300-00000D000000}">
      <text>
        <r>
          <rPr>
            <sz val="9"/>
            <color indexed="81"/>
            <rFont val="Tahoma"/>
            <family val="2"/>
          </rPr>
          <t>La forme de l'effluent sortant proposée dépend de l'effluent entrant (solide ou liquide) et du type de traitement. Seuls les traitements avec séparation de phase donnent deux types d'effluents : un solide et un liquide.</t>
        </r>
      </text>
    </comment>
    <comment ref="B87" authorId="0" shapeId="0" xr:uid="{00000000-0006-0000-0300-00000E000000}">
      <text>
        <r>
          <rPr>
            <sz val="9"/>
            <color indexed="81"/>
            <rFont val="Tahoma"/>
            <family val="2"/>
          </rPr>
          <t xml:space="preserve">Le nom des ouvrages de stockage est laissé libre au choix du déclarant, il est préférable de choisir des noms explicites afin de faciliter le suivi de la déclaration (exemples : fosse à lisier de 100 m3, fosse à côté du batiment d'engraissement, etc.). 
En cas d'absence d'ouvrage de stockage, il faut néanmoins déclarer un stockage et sélectionner "Pas de stockage" dans la colonne "Type de stockage". </t>
        </r>
      </text>
    </comment>
    <comment ref="B100" authorId="0" shapeId="0" xr:uid="{00000000-0006-0000-0300-00000F000000}">
      <text>
        <r>
          <rPr>
            <sz val="9"/>
            <color indexed="81"/>
            <rFont val="Tahoma"/>
            <family val="2"/>
          </rPr>
          <t>Le nom des épandages est indicatif, il est laissé libre au choix du déclarant, il demeure préférable de choisir des noms explicites afin de faciliter le suivi de la déclaration (exemples : épandage de la fosse X en août, épandage avec avec pendillard, etc.).</t>
        </r>
      </text>
    </comment>
    <comment ref="D100" authorId="0" shapeId="0" xr:uid="{00000000-0006-0000-0300-000010000000}">
      <text>
        <r>
          <rPr>
            <sz val="9"/>
            <color indexed="81"/>
            <rFont val="Tahoma"/>
            <family val="2"/>
          </rPr>
          <t xml:space="preserve">La forme de l'effluent (liquide ou solide) conditionne le mode d'épandage. Les épandages à la buse palette ou au pendillard concernent des effluents liquides, pour les effluents solides seul le délais d'incorporation compte, le type de materiel (hérissons, etc.) n'impacte pas les émissions estimées. </t>
        </r>
      </text>
    </comment>
    <comment ref="G100" authorId="0" shapeId="0" xr:uid="{00000000-0006-0000-0300-000011000000}">
      <text>
        <r>
          <rPr>
            <sz val="9"/>
            <color indexed="81"/>
            <rFont val="Tahoma"/>
            <family val="2"/>
          </rPr>
          <t>Ce paramètre permet de gérer les cas où l'ensemble des effluents d'un stockage n'est pas épandu de la même manière:
• Si un effluent d'un même stockage est toujours épandu de la même manière, il faut renseigner 100%,
• Si un effluent liquide d'un même stockage est épandu pour moitié avec un pendillard et pour moitié avec une buse palette, il faut renseigner 50% pour chacun de ces épandages et renseigner 2 lignes distinctes,
• Si un effluent a été traité par séparation de phase, deux effluents distincts doivent être épandus (ou exportés), l'un liquide, l'autre solide, il est donc nécessaire de renseigner au moins 2 lignes d'épandage.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M57" authorId="0" shapeId="0" xr:uid="{D8793D78-FF24-4BAD-BB02-A0E0E980414C}">
      <text>
        <r>
          <rPr>
            <b/>
            <sz val="9"/>
            <color indexed="81"/>
            <rFont val="Tahoma"/>
            <family val="2"/>
          </rPr>
          <t xml:space="preserve">NON par défaut. </t>
        </r>
        <r>
          <rPr>
            <sz val="9"/>
            <color indexed="81"/>
            <rFont val="Tahoma"/>
            <family val="2"/>
          </rPr>
          <t xml:space="preserve">
</t>
        </r>
        <r>
          <rPr>
            <b/>
            <sz val="9"/>
            <color indexed="81"/>
            <rFont val="Tahoma"/>
            <family val="2"/>
          </rPr>
          <t xml:space="preserve">OUI dans le cas où </t>
        </r>
        <r>
          <rPr>
            <sz val="9"/>
            <color indexed="81"/>
            <rFont val="Tahoma"/>
            <family val="2"/>
          </rPr>
          <t>un éleveur ne peut pas calculer de manière différenciée les émissions générées dans un même bâtiment par les porcelets en post-sevrage des porcs charcutiers, la valeur de référence à laquelle l'éleveur doit se comparer combine les valeurs fixées dans les conclusions MTD au prorata de la présence des catégories.</t>
        </r>
      </text>
    </comment>
    <comment ref="N57" authorId="0" shapeId="0" xr:uid="{DAD3C2F2-E579-4376-8F9B-860D9482DC98}">
      <text>
        <r>
          <rPr>
            <b/>
            <sz val="9"/>
            <color indexed="81"/>
            <rFont val="Tahoma"/>
            <family val="2"/>
          </rPr>
          <t>NON par défaut. 
OUI dans le cas</t>
        </r>
        <r>
          <rPr>
            <sz val="9"/>
            <color indexed="81"/>
            <rFont val="Tahoma"/>
            <family val="2"/>
          </rPr>
          <t xml:space="preserve"> où un éleveur ne peut pas calculer de manière différenciée les émissions générées dans un même bâtiment par les truies allaitantes des truies en attente de saillie et gestation, la valeur de référence à laquelle l'éleveur doit se comparer combine les valeurs fixées dans les conclusions MTD au prorata de la présence des catégories.</t>
        </r>
      </text>
    </comment>
  </commentList>
</comments>
</file>

<file path=xl/sharedStrings.xml><?xml version="1.0" encoding="utf-8"?>
<sst xmlns="http://schemas.openxmlformats.org/spreadsheetml/2006/main" count="1938" uniqueCount="851">
  <si>
    <t>%fumier</t>
  </si>
  <si>
    <t>%lisier</t>
  </si>
  <si>
    <t>Litière</t>
  </si>
  <si>
    <t>Fumier</t>
  </si>
  <si>
    <t>Fumier composté sans additifs bactériens</t>
  </si>
  <si>
    <t>Fumier composté avec additifs bactériens</t>
  </si>
  <si>
    <t>FA</t>
  </si>
  <si>
    <t>Type de sols</t>
  </si>
  <si>
    <t>Modalité de gestion des déjections</t>
  </si>
  <si>
    <t>Sélectionner dans une liste</t>
  </si>
  <si>
    <t>Renseigner</t>
  </si>
  <si>
    <t>Régions</t>
  </si>
  <si>
    <t xml:space="preserve"> - Choisir dans la liste - </t>
  </si>
  <si>
    <t>Emissions au bâtiment</t>
  </si>
  <si>
    <t>Lisier</t>
  </si>
  <si>
    <t>kg N-NH3</t>
  </si>
  <si>
    <t>Total</t>
  </si>
  <si>
    <t>FE N2O</t>
  </si>
  <si>
    <t>kg NH3</t>
  </si>
  <si>
    <t>TOTAL</t>
  </si>
  <si>
    <t>Emissions directes</t>
  </si>
  <si>
    <t>Epandage</t>
  </si>
  <si>
    <t>Emissions indirectes</t>
  </si>
  <si>
    <t>Déposition atmosphérique</t>
  </si>
  <si>
    <t>Bâtiment et stockage</t>
  </si>
  <si>
    <t>FE N2O kg N-N2O/kg N</t>
  </si>
  <si>
    <t>Région</t>
  </si>
  <si>
    <t>kg/an</t>
  </si>
  <si>
    <t>Guadeloupe</t>
  </si>
  <si>
    <t>Guyane</t>
  </si>
  <si>
    <t>La Réunion</t>
  </si>
  <si>
    <t>Martinique</t>
  </si>
  <si>
    <t>Mayotte</t>
  </si>
  <si>
    <t>Facteur d'émission au bâtiment</t>
  </si>
  <si>
    <t>Facteur d'émission au stockage</t>
  </si>
  <si>
    <t>Facteur d'émission à l'épandage</t>
  </si>
  <si>
    <t>Catégorie animale</t>
  </si>
  <si>
    <t>Fumier stocké au champ</t>
  </si>
  <si>
    <t>Inconnue</t>
  </si>
  <si>
    <t>Epandage sans incorporation</t>
  </si>
  <si>
    <t>Localisation et température</t>
  </si>
  <si>
    <t>Total Nombre de places (places)</t>
  </si>
  <si>
    <t>Quel est le but de cet outil ?</t>
  </si>
  <si>
    <t>Le code couleur est le suivant :</t>
  </si>
  <si>
    <t>Cellules à renseigner</t>
  </si>
  <si>
    <t>Localisation de l'exploitation</t>
  </si>
  <si>
    <t>Porcelets en post-sevrage</t>
  </si>
  <si>
    <t>Porcs à l'engrais</t>
  </si>
  <si>
    <t>Truies gestantes</t>
  </si>
  <si>
    <t>Truies en attente de saillie</t>
  </si>
  <si>
    <t>Truies en maternité</t>
  </si>
  <si>
    <t>Cochettes</t>
  </si>
  <si>
    <t>Verrats</t>
  </si>
  <si>
    <t>Type de sol</t>
  </si>
  <si>
    <t>% Fumier</t>
  </si>
  <si>
    <t>% Lisier</t>
  </si>
  <si>
    <t>Caillebotis intégral</t>
  </si>
  <si>
    <t>Caillebotis partiel</t>
  </si>
  <si>
    <t>Litière paille</t>
  </si>
  <si>
    <t>Litière sciure</t>
  </si>
  <si>
    <t>Ventilation statique</t>
  </si>
  <si>
    <t>Nombre de rotations</t>
  </si>
  <si>
    <t>Nombre de places maximum</t>
  </si>
  <si>
    <t>Taux d'activité (%)</t>
  </si>
  <si>
    <t>Modalité de gestion de l'alimentation</t>
  </si>
  <si>
    <t>Type d'alimentation</t>
  </si>
  <si>
    <t>Standard</t>
  </si>
  <si>
    <t>Multiphase (dont biphase)</t>
  </si>
  <si>
    <t>TAN (%)</t>
  </si>
  <si>
    <t>Naisseurs engraisseurs</t>
  </si>
  <si>
    <t>Engraisseurs</t>
  </si>
  <si>
    <t>Type d'élevage</t>
  </si>
  <si>
    <t>Indicateur alimentation</t>
  </si>
  <si>
    <t>TAN ex fumier</t>
  </si>
  <si>
    <t>Quantité de litière apportée (t/an)</t>
  </si>
  <si>
    <t>FE (kg CH4/place/an)</t>
  </si>
  <si>
    <t>Lisier (avec formation d'une croûte naturelle)</t>
  </si>
  <si>
    <t>Lisier (sans formation d'une croûte naturelle)</t>
  </si>
  <si>
    <t>Lisier sous caillebotis, stocké moins d'un mois (pas de fosse extérieure)</t>
  </si>
  <si>
    <t>Lisier sous caillebotis, stocké plus d'un mois</t>
  </si>
  <si>
    <t>Litière accumulée (moins d'un mois)</t>
  </si>
  <si>
    <t>Litière accumulée (plus d'un mois)</t>
  </si>
  <si>
    <t>Stockage</t>
  </si>
  <si>
    <t>Litière accumulée - mélange actif</t>
  </si>
  <si>
    <t>Compostage</t>
  </si>
  <si>
    <t>Durée de stockage des déjections au bâtiment</t>
  </si>
  <si>
    <t>Que dois-je renseigner ?</t>
  </si>
  <si>
    <t>Valeurs à sélectionner dans une liste</t>
  </si>
  <si>
    <t>Où trouver mes résultats ?</t>
  </si>
  <si>
    <t>Dans l'onglet "Synthèse des émissions".</t>
  </si>
  <si>
    <t>A qui dois-je m'adresser en cas de problèmes ?</t>
  </si>
  <si>
    <t>- Choisir dans la liste -</t>
  </si>
  <si>
    <t>Alsace</t>
  </si>
  <si>
    <t>Aquitaine</t>
  </si>
  <si>
    <t>Auvergne</t>
  </si>
  <si>
    <t>Basse-Normandie</t>
  </si>
  <si>
    <t>Bourgogne</t>
  </si>
  <si>
    <t>Bretagne</t>
  </si>
  <si>
    <t>Centre</t>
  </si>
  <si>
    <t>Champagne-Ardenne</t>
  </si>
  <si>
    <t>Corse</t>
  </si>
  <si>
    <t>Franche-Comté</t>
  </si>
  <si>
    <t>Haute-Normandie</t>
  </si>
  <si>
    <t>Île-de-France</t>
  </si>
  <si>
    <t>Languedoc-Roussillon</t>
  </si>
  <si>
    <t>Limousin</t>
  </si>
  <si>
    <t>Lorraine</t>
  </si>
  <si>
    <t>Midi-Pyrénées</t>
  </si>
  <si>
    <t>Nord-Pas-de-Calais</t>
  </si>
  <si>
    <t>Pays de la Loire</t>
  </si>
  <si>
    <t>Picardie</t>
  </si>
  <si>
    <t>Poitou-Charentes</t>
  </si>
  <si>
    <t>Provence-Alpes-Côte d'Azur</t>
  </si>
  <si>
    <t>Rhône-Alpes</t>
  </si>
  <si>
    <t>Moins d'un mois</t>
  </si>
  <si>
    <t>Plus d'un mois</t>
  </si>
  <si>
    <r>
      <t>·</t>
    </r>
    <r>
      <rPr>
        <sz val="7"/>
        <color theme="1"/>
        <rFont val="Times New Roman"/>
        <family val="1"/>
      </rPr>
      <t xml:space="preserve">         </t>
    </r>
    <r>
      <rPr>
        <sz val="10"/>
        <color theme="1"/>
        <rFont val="Arial"/>
        <family val="2"/>
      </rPr>
      <t>l’un sur caillebotis intégral, à ventilation dynamique et à évacuation des déjections mécaniques (racleur en V),</t>
    </r>
  </si>
  <si>
    <r>
      <t>·</t>
    </r>
    <r>
      <rPr>
        <sz val="7"/>
        <color theme="1"/>
        <rFont val="Times New Roman"/>
        <family val="1"/>
      </rPr>
      <t xml:space="preserve">         </t>
    </r>
    <r>
      <rPr>
        <sz val="10"/>
        <color theme="1"/>
        <rFont val="Arial"/>
        <family val="2"/>
      </rPr>
      <t>l’autre sur caillebotis partiel, à ventilation dynamique et à évacuation des déjections mécaniques (racleur en V),</t>
    </r>
  </si>
  <si>
    <t>Quelques précautions</t>
  </si>
  <si>
    <r>
      <t xml:space="preserve">1. Assurez-vous de bien  renseigner les cellules </t>
    </r>
    <r>
      <rPr>
        <b/>
        <u/>
        <sz val="11"/>
        <color theme="1"/>
        <rFont val="Calibri"/>
        <family val="2"/>
        <scheme val="minor"/>
      </rPr>
      <t xml:space="preserve">de haut en bas </t>
    </r>
    <r>
      <rPr>
        <sz val="11"/>
        <color theme="1"/>
        <rFont val="Calibri"/>
        <family val="2"/>
        <scheme val="minor"/>
      </rPr>
      <t xml:space="preserve">de la feuille. En effet, les listes déroulantes sont dépendantes des informations renseignées dans les cellules précédentes. Par exemple, les modalités de gestion des déjections  que vous pouvez choisir sont dépendantes des types de sols. </t>
    </r>
  </si>
  <si>
    <t>L'outil a été développé de manière à refléter l'ensemble des situations possibles pour les élevages IED de porcs et calcule les émissions en fonction des renseignements apportés par l'exploitant.  Il a été réalisé en collaboration avec l'IFIP.</t>
  </si>
  <si>
    <t>L'outil a été construit de manière à ce que le déclarant n'ait qu'à remplir des éléments descriptifs concernant sa production et sa gestion des effluents. En principe, il n'y a aucun calcul à effectuer par le déclarant.</t>
  </si>
  <si>
    <t>Nom du bâtiment</t>
  </si>
  <si>
    <t>Nom du stockage</t>
  </si>
  <si>
    <t>Truies en Maternité</t>
  </si>
  <si>
    <t>Provenance des effluents</t>
  </si>
  <si>
    <t>Modalité d'épandage</t>
  </si>
  <si>
    <t>Part des effluents par provenance et par modalité d'épandage</t>
  </si>
  <si>
    <t>Identification de l'épandage</t>
  </si>
  <si>
    <t>Système de gestion</t>
  </si>
  <si>
    <t>Nom associé</t>
  </si>
  <si>
    <t>caillebotis_integral</t>
  </si>
  <si>
    <t>caillebotis_partiel</t>
  </si>
  <si>
    <t>Catégorie</t>
  </si>
  <si>
    <t>Effectifs - Valeurs par défaut</t>
  </si>
  <si>
    <t>Alimentation - Valeurs par défaut de Fex (kgN/tête)</t>
  </si>
  <si>
    <t>Biphase</t>
  </si>
  <si>
    <t>Engraissement par kg de poids vif supplémentaire</t>
  </si>
  <si>
    <t>Hypothèses utilisées pour le calcul</t>
  </si>
  <si>
    <t>Naisseurs engraisseur</t>
  </si>
  <si>
    <t>Engraisseur</t>
  </si>
  <si>
    <t>Multiphase
(dont biphase)</t>
  </si>
  <si>
    <t>litiere_paille</t>
  </si>
  <si>
    <t>litiere_sciure</t>
  </si>
  <si>
    <t>Durée de stockage</t>
  </si>
  <si>
    <t>Système de gestion des déjections - Durée de stockage au bâtiment - Liste déroulante "duree_stockage"</t>
  </si>
  <si>
    <t>Type de sol et caractérisation - Liste déroulante "liste_sols"</t>
  </si>
  <si>
    <t>Alimentation - Liste déroulante "liste_alim"</t>
  </si>
  <si>
    <t>A CACHER</t>
  </si>
  <si>
    <t>Mode d'épandage lisier</t>
  </si>
  <si>
    <t>Mode d'épandage fumier</t>
  </si>
  <si>
    <t>Type de stockage</t>
  </si>
  <si>
    <t>Type d'effluent</t>
  </si>
  <si>
    <t>Mode de stockage</t>
  </si>
  <si>
    <t>Nom de liste</t>
  </si>
  <si>
    <t xml:space="preserve"> </t>
  </si>
  <si>
    <t>Poids moyen à la sortie</t>
  </si>
  <si>
    <t>Naisseur engraisseur</t>
  </si>
  <si>
    <t>Naisseurs engraisseur Mult.Fem</t>
  </si>
  <si>
    <t>Poids de référence</t>
  </si>
  <si>
    <t>CALCUL DES EMISSIONS</t>
  </si>
  <si>
    <t>2. Effectifs</t>
  </si>
  <si>
    <t>Donnée saisie par l'exploitant</t>
  </si>
  <si>
    <t>Donnée par défaut</t>
  </si>
  <si>
    <t>Donnée calculée</t>
  </si>
  <si>
    <t>3. Emissions de NH3</t>
  </si>
  <si>
    <t>Indicateur cochettes et porcs à l'engrais</t>
  </si>
  <si>
    <t>Donnée prise d'un autre onglet</t>
  </si>
  <si>
    <t>Donnée entrée en dur</t>
  </si>
  <si>
    <t>TANex (kg)</t>
  </si>
  <si>
    <t>Part des animaux dans chacun des bâtiments</t>
  </si>
  <si>
    <t>Total pour vérification</t>
  </si>
  <si>
    <t>FE bat fumier
kg N-NH3/kg TAN</t>
  </si>
  <si>
    <t>FE bat lisier
kg N-NH3/kg TAN</t>
  </si>
  <si>
    <t>Emi_N_NH3 
fumier sans ajustement
(kg N-NH3)</t>
  </si>
  <si>
    <t>Emi_N_NH3 
lisier sans ajustement
(kg N-NH3)</t>
  </si>
  <si>
    <t>Emi_N_NH3 
sans ajustement
(kg N-NH3)</t>
  </si>
  <si>
    <t>Emi_N_NH3
fumier
kg N-NH3</t>
  </si>
  <si>
    <t>Emi_N_NH3
lisier
kg N-NH3</t>
  </si>
  <si>
    <t>LISTES DEROULANTES ET VALEURS PAR DEFAUT AFFICHEES DANS L'ONGLET DE SAISIE</t>
  </si>
  <si>
    <t>DONNES SPECIFIQUES POUR LE CALCUL</t>
  </si>
  <si>
    <t>Facteurs d'ajustement au bâtiment combinés</t>
  </si>
  <si>
    <t>FE NH3 au bâtiment, stockage et épandage</t>
  </si>
  <si>
    <t>TANex lisier</t>
  </si>
  <si>
    <t>Concaténation sol_gestion des déjections</t>
  </si>
  <si>
    <t>Indicateur gestion de l'ambiance</t>
  </si>
  <si>
    <t>Gestion de l'ambiance</t>
  </si>
  <si>
    <t>TOTAL bâtiment</t>
  </si>
  <si>
    <t>Qté pailles apportées
(kg/an/bâtiment)</t>
  </si>
  <si>
    <t>T MS (%)</t>
  </si>
  <si>
    <t>Minéralisation
(kg TAN)</t>
  </si>
  <si>
    <t>Caractéristique bâtiment pour calcul du FE</t>
  </si>
  <si>
    <t>Calcul classique sans FA</t>
  </si>
  <si>
    <t>Calcul avec FA</t>
  </si>
  <si>
    <t>Vérif</t>
  </si>
  <si>
    <t>Récaptiulatif par catégorie d'animal et total - Sans application du FA</t>
  </si>
  <si>
    <t>TANex fumier
kg N</t>
  </si>
  <si>
    <t>TANex lisier
kg N</t>
  </si>
  <si>
    <t>Facteurs utilisés pour évaluer les émissions au stockage</t>
  </si>
  <si>
    <t>Emi_N_NH3 
fumier avec ajustement
(kg N-NH3)</t>
  </si>
  <si>
    <t>Emi_N_NH3 
lisier avec ajustement
(kg N-NH3)</t>
  </si>
  <si>
    <t>Emi_N_NH3 
avec ajustement
(kg N-NH3)</t>
  </si>
  <si>
    <t>Immobilisation par bâtiment pour cette catégorie
(kg TAN)</t>
  </si>
  <si>
    <t>Porcelets en post-sevrage, porcs à l'engrais, et cochettes</t>
  </si>
  <si>
    <t>Facteur d'ajustement correspondant</t>
  </si>
  <si>
    <t>Truies et verrats</t>
  </si>
  <si>
    <t>TOTAL stockage</t>
  </si>
  <si>
    <t>Facteurs d'abattement combinés pour le stockage - "FA_stockage"</t>
  </si>
  <si>
    <t>Facteurs d'abattement combinés pour l'épandage - "FA_epandage"</t>
  </si>
  <si>
    <t>Effluent</t>
  </si>
  <si>
    <t>Technique d'épandage</t>
  </si>
  <si>
    <t>Calcul du TAN_épandu</t>
  </si>
  <si>
    <t>Nom de l'épandage</t>
  </si>
  <si>
    <t>Emi_N_NH3 total</t>
  </si>
  <si>
    <t>Application des FE N_NH3 à l'épandage par type de stockage, type de déjection et catégorie animale, avant répartition par épandage et ajustement</t>
  </si>
  <si>
    <t>Emissions N_NH3 par type d'épandage avec ajustement</t>
  </si>
  <si>
    <t>Toute catégorie confondue</t>
  </si>
  <si>
    <t>Emi_N_NH3 
total
sans ajustement</t>
  </si>
  <si>
    <t>Emi_N_NH3 
total
avec ajustement</t>
  </si>
  <si>
    <t>TOTAL épandage</t>
  </si>
  <si>
    <t>TOTAL NH3</t>
  </si>
  <si>
    <t>4. Emissions de CH4</t>
  </si>
  <si>
    <t>Emissions de CH4 liées à la fermentation entérique</t>
  </si>
  <si>
    <t>FE CH4 entérique</t>
  </si>
  <si>
    <t>FE CH4 entérique
(kg CH4/place/an)</t>
  </si>
  <si>
    <t>E_CH4_ent</t>
  </si>
  <si>
    <t>TOTAL CH4 entérique</t>
  </si>
  <si>
    <t>kg CH4</t>
  </si>
  <si>
    <t>FE CH4 déjections</t>
  </si>
  <si>
    <t>Bo et VS par catégorie</t>
  </si>
  <si>
    <t>% fumier</t>
  </si>
  <si>
    <t>% lisier</t>
  </si>
  <si>
    <t>VS
kg/jour</t>
  </si>
  <si>
    <t>MCF par température et mode de stockage (IPCC 2006)</t>
  </si>
  <si>
    <t>Equivalent IPCC 2006</t>
  </si>
  <si>
    <t>Solid storage</t>
  </si>
  <si>
    <t>Pit storage below animal confinements</t>
  </si>
  <si>
    <t>Liquid/Slurry</t>
  </si>
  <si>
    <t>Composting (in vessel and static pile)</t>
  </si>
  <si>
    <t>Composting (intensive windrow)</t>
  </si>
  <si>
    <t>Table des correspondances</t>
  </si>
  <si>
    <t>Bâtiment</t>
  </si>
  <si>
    <t>Notation utilisée</t>
  </si>
  <si>
    <t>T°C moyenne</t>
  </si>
  <si>
    <t>1. Exploitation - Caractéristiques générales</t>
  </si>
  <si>
    <t>Paramètres utilisés pour le calcul du FE CH4 gestion des déjections</t>
  </si>
  <si>
    <t>Nombre de jours/an</t>
  </si>
  <si>
    <t>Masse volumique du CH4 (kg CH4/m3)</t>
  </si>
  <si>
    <t>Porcelet en post sevrage, porcs à l'engrais, cochettes</t>
  </si>
  <si>
    <t>TOTAL CH4 déjections</t>
  </si>
  <si>
    <t>TOTAL CH4</t>
  </si>
  <si>
    <t>FE TSP et PM10</t>
  </si>
  <si>
    <t>5. Emissions de TSP</t>
  </si>
  <si>
    <t>Toutes catégories confondues</t>
  </si>
  <si>
    <t>TOTAL TSP</t>
  </si>
  <si>
    <t>kg TSP</t>
  </si>
  <si>
    <t>Emissions TSP
Fumier (kg)</t>
  </si>
  <si>
    <t>Emissions TSP
Lisier (kg)</t>
  </si>
  <si>
    <t>Emissions TSP totales (kg)</t>
  </si>
  <si>
    <t>6. Emissions de N2O</t>
  </si>
  <si>
    <t>N excrete au bâtiment 
(kg N)</t>
  </si>
  <si>
    <t>FE épandage
kg N-N2O/kgN</t>
  </si>
  <si>
    <t>Emi_N_N2O épandage (kg)</t>
  </si>
  <si>
    <t>FE_N2O_depo
kg N-N2O/kgN</t>
  </si>
  <si>
    <t>FE_N2O_lessivage
kg N-N2O/kgN</t>
  </si>
  <si>
    <t>Total Emissions indirectes
kg N-N2O</t>
  </si>
  <si>
    <t>Total Emissions directes
kg N-N2O</t>
  </si>
  <si>
    <t>Total Emissions N-N2O (kg)</t>
  </si>
  <si>
    <t>TOTAL N2O</t>
  </si>
  <si>
    <t>kg N-N2O</t>
  </si>
  <si>
    <t>TOTAL N-N2O</t>
  </si>
  <si>
    <t>kg N2O</t>
  </si>
  <si>
    <t>Vous pouvez adresser vos remarques et questions par mail à l'attention d'Anaïs DURAND (anais.durand@citepa.org) et d'Etienne MATHIAS (etienne.mathias@citepa.org). Merci de préciser en objet "Outil en ligne de déclaration GEREP", et de joindre en pièce jointe votre outil.</t>
  </si>
  <si>
    <t>Températures T°C</t>
  </si>
  <si>
    <t>6. Emissions de PM10</t>
  </si>
  <si>
    <t>TOTAL PM10</t>
  </si>
  <si>
    <t>kg PM10</t>
  </si>
  <si>
    <t>FE PM10
Fumier (kg/tête)</t>
  </si>
  <si>
    <t>FE PM10
Lisier (kg/tête)</t>
  </si>
  <si>
    <t>Emissions PM10
Fumier (kg)</t>
  </si>
  <si>
    <t>Emissions PM10
Lisier (kg)</t>
  </si>
  <si>
    <t>Emissions PM10 totales (kg)</t>
  </si>
  <si>
    <t>Source : EMEP 2013</t>
  </si>
  <si>
    <t>Naissseur engraisseur</t>
  </si>
  <si>
    <t>Type d'élevage - Liste déroulante "liste_naisseur_engraisseur"</t>
  </si>
  <si>
    <t>Tableau 1 : Caractéristiques de l'exploitation</t>
  </si>
  <si>
    <t>Tableau 4 : Caractéristiques des bâtiments</t>
  </si>
  <si>
    <t>Effluent sortant</t>
  </si>
  <si>
    <t>Liquide</t>
  </si>
  <si>
    <t>Forme effluent sortant</t>
  </si>
  <si>
    <t>Solide</t>
  </si>
  <si>
    <t>Méthanisation</t>
  </si>
  <si>
    <t>Nitrification-dénitrification</t>
  </si>
  <si>
    <t>TOTAL N-NH3</t>
  </si>
  <si>
    <t>Forme de l'effluent</t>
  </si>
  <si>
    <t>FE épandage Solide</t>
  </si>
  <si>
    <t>FE épandage liquide</t>
  </si>
  <si>
    <t>Emi_N_NH3 solide</t>
  </si>
  <si>
    <t>Emi_N_NH3 liquide</t>
  </si>
  <si>
    <t>FE épandage solide</t>
  </si>
  <si>
    <t>Part des effluents par provenance, forme et par modalité d'épandage</t>
  </si>
  <si>
    <t>Pour le NH3</t>
  </si>
  <si>
    <t>Stockage en préfosse sur toute la durée de présence des animaux</t>
  </si>
  <si>
    <t>Brumisation</t>
  </si>
  <si>
    <t>Fumière non couverte</t>
  </si>
  <si>
    <t>Fumière couverte</t>
  </si>
  <si>
    <t>Séparation de phases + Nitrification-dénitrification</t>
  </si>
  <si>
    <t>Méthanisation + Séparation de phases</t>
  </si>
  <si>
    <t>Séparation de phases</t>
  </si>
  <si>
    <t>Terres d'épandage</t>
  </si>
  <si>
    <t>Buse palette &lt;12h (incorporation dans les 12h)</t>
  </si>
  <si>
    <t>Buse palette &lt;24h (incorporation dans les 24h)</t>
  </si>
  <si>
    <t>Buse palette &gt;24h (incorporation après 24h)</t>
  </si>
  <si>
    <t>Buse palette (sans incorporation)</t>
  </si>
  <si>
    <t>Pendillards à sabots trainés</t>
  </si>
  <si>
    <t>Incorporation dans les 12h</t>
  </si>
  <si>
    <t>Incorporation dans les 24h</t>
  </si>
  <si>
    <t>Incorporation après 24h</t>
  </si>
  <si>
    <t>Deep bedding</t>
  </si>
  <si>
    <t>Emi_N_NH3 solide
sans ajustement</t>
  </si>
  <si>
    <t>Emi_N_NH3
liquide
sans ajustement</t>
  </si>
  <si>
    <t>Emi_N_NH3 solide
avec ajustement</t>
  </si>
  <si>
    <t>Emi_N_NH3
liquide
avec ajustement</t>
  </si>
  <si>
    <t>FA solide associé</t>
  </si>
  <si>
    <t>FA liquide associé</t>
  </si>
  <si>
    <t>Cet outil a pour vocation d'aider les déclarants à quantifier les émissions de CH4, N2O, NH3 et PM10 / TSP des élevages de porcs  soumis à déclaration des  émissions dans l'air, au titre de la directive IED. Il s'accompagne de la nouvelle version du guide méthodologique, appelé : "Guide pour l'évaluation des émissions dans l'air d'ammoniac, méthane, particules (PM10 et TSP) et protoxyde d'azote pour les élevages de porcs et de volailles français" en ligne sur le site accessible aux déclarants GEREP.</t>
  </si>
  <si>
    <t xml:space="preserve">Le déclarant doit renseigner les informations pour chacune des catégories animales présentes sur son exploitation. </t>
  </si>
  <si>
    <t xml:space="preserve">alors il devra déclarer deux bâtiments, décrire séparément les caractéristiques de chacun des bâtiments dans l'onglet "Exploitation", et la part des animaux dans chaque type de bâtiment. </t>
  </si>
  <si>
    <t>FA CH4 stockage</t>
  </si>
  <si>
    <t>Cellules à ne pas remplir</t>
  </si>
  <si>
    <t>Non concerné</t>
  </si>
  <si>
    <t>Taux d'occupation (%)</t>
  </si>
  <si>
    <t>Traitement de l'air</t>
  </si>
  <si>
    <t>Système de gestion de l'ambiance</t>
  </si>
  <si>
    <t>Ventilation dynamique</t>
  </si>
  <si>
    <t>Cooling du lisier</t>
  </si>
  <si>
    <t>Gestion de l'ambiance au bâtiment</t>
  </si>
  <si>
    <t>Système de traitement de l'air</t>
  </si>
  <si>
    <t>Compostage du lisier</t>
  </si>
  <si>
    <t>Effluent normalisé exporté</t>
  </si>
  <si>
    <t>Epandu sur terres en propre</t>
  </si>
  <si>
    <t>Devenir de l'effluent</t>
  </si>
  <si>
    <t>Indicateur traitement de l'air</t>
  </si>
  <si>
    <t>FA gestion de l'ambiance</t>
  </si>
  <si>
    <t>FA traitement de l'air</t>
  </si>
  <si>
    <t>FA retenu</t>
  </si>
  <si>
    <t>Epandage (sur terres en propre)</t>
  </si>
  <si>
    <t>Tableau 2 : Liste des bâtiments et répartition des animaux par bâtiment</t>
  </si>
  <si>
    <t>Répartition des animaux par bâtiment (nombre de places maximum)</t>
  </si>
  <si>
    <t>Données compostage - "Connaissance des émissions gazeuses dans les différentes filières de gestion des effluents porcins", Inra Prod.Anim 2008</t>
  </si>
  <si>
    <t>% TAN par défaut</t>
  </si>
  <si>
    <t>N lisier stocké (g)</t>
  </si>
  <si>
    <t>TAN lisier stocké (g)</t>
  </si>
  <si>
    <t>N-NH3 émis (g)</t>
  </si>
  <si>
    <t>N-N2O émis (g)</t>
  </si>
  <si>
    <t>N-N2 émis (g)</t>
  </si>
  <si>
    <t>FE N-N2O + N-N2 (g N-N2O+N-N2 / g TAN stocké</t>
  </si>
  <si>
    <t>Données compostage "Composition des effluents porcins" ITP; 2005</t>
  </si>
  <si>
    <t>Proportion mélange paille/lisier pour compost de lisier sur paille</t>
  </si>
  <si>
    <t>Composition gN total / kg produit brut du lisier mixte</t>
  </si>
  <si>
    <t>Ratio 
kg paille / kgN stocké</t>
  </si>
  <si>
    <t>Taux de non occupation (non utilisé)</t>
  </si>
  <si>
    <t>Epandu sur autres terres</t>
  </si>
  <si>
    <t>Compostage 1</t>
  </si>
  <si>
    <t>Compostage 2</t>
  </si>
  <si>
    <t>N epandu (liquide et solide confondus)
(kg N)</t>
  </si>
  <si>
    <t>Emissions volatilisation
kg N-N2O</t>
  </si>
  <si>
    <t>Emissions lessivage
kg N-N2O</t>
  </si>
  <si>
    <t>Tableau 3 : Cheptels, taux d'occupation, taux d'activité et excrétion azotée des animaux</t>
  </si>
  <si>
    <t>Epandage (sur autres terres dans le cadre du plan d'épandage)</t>
  </si>
  <si>
    <t>Epandage (exportation d'effluents normalisés)</t>
  </si>
  <si>
    <t>Emissions totales (à l'exclusion des émissions des effluents normalisés exportés)</t>
  </si>
  <si>
    <t>Valeur seuil de déclaration des Emissions Polluantes (arrêté du 31 janvier 2008)</t>
  </si>
  <si>
    <t>Récapitulatif par catégorie d'animal et total - Avec application du FA</t>
  </si>
  <si>
    <t>Suivi des versions</t>
  </si>
  <si>
    <r>
      <rPr>
        <b/>
        <sz val="11"/>
        <color theme="1"/>
        <rFont val="Calibri"/>
        <family val="2"/>
        <scheme val="minor"/>
      </rPr>
      <t>v3.0</t>
    </r>
    <r>
      <rPr>
        <sz val="11"/>
        <color theme="1"/>
        <rFont val="Calibri"/>
        <family val="2"/>
        <scheme val="minor"/>
      </rPr>
      <t xml:space="preserve"> (Diffusée le 31/12/2015) : Première version</t>
    </r>
  </si>
  <si>
    <r>
      <rPr>
        <b/>
        <sz val="11"/>
        <color theme="1"/>
        <rFont val="Calibri"/>
        <family val="2"/>
        <scheme val="minor"/>
      </rPr>
      <t>v3.1</t>
    </r>
    <r>
      <rPr>
        <sz val="11"/>
        <color theme="1"/>
        <rFont val="Calibri"/>
        <family val="2"/>
        <scheme val="minor"/>
      </rPr>
      <t xml:space="preserve"> (Diffusée le 19/02/2016) : Correction des formules de calcul des émissions au stockage qui n'avaient pas été correctement étendues à l'ensemble des stockages. Cette erreur pouvait conduire à des émissions fortement erronées dès que plusieurs stockages sont déclarés. Formules corrigées dans l'onglet Emissions : H173:I177 et L173:M177.</t>
    </r>
  </si>
  <si>
    <r>
      <rPr>
        <b/>
        <sz val="11"/>
        <color theme="1"/>
        <rFont val="Calibri"/>
        <family val="2"/>
        <scheme val="minor"/>
      </rPr>
      <t>v3.2</t>
    </r>
    <r>
      <rPr>
        <sz val="11"/>
        <color theme="1"/>
        <rFont val="Calibri"/>
        <family val="2"/>
        <scheme val="minor"/>
      </rPr>
      <t xml:space="preserve"> (Diffusée le 24/02/2016) : Correction des formules de calcul des émissions au bâtiment pour les cochettes et les truies en maternité pour lesquelles le facteur d'abattement appliqué n'était pas le facteur retenu mais le facteur associé au traitement de l'air. Cette erreur pouvait mener à des réductions d'émission moins forte que la réalité. Formules corrigées dans l'onglet Emissions : N93:N112 et P93:P112.
Rétablissement du tableau avec les valeurs seuils qui avait disparu de la synthèse dans la version v3.1.</t>
    </r>
  </si>
  <si>
    <r>
      <rPr>
        <b/>
        <sz val="11"/>
        <color theme="1"/>
        <rFont val="Calibri"/>
        <family val="2"/>
        <scheme val="minor"/>
      </rPr>
      <t>v3.3</t>
    </r>
    <r>
      <rPr>
        <sz val="11"/>
        <color theme="1"/>
        <rFont val="Calibri"/>
        <family val="2"/>
        <scheme val="minor"/>
      </rPr>
      <t xml:space="preserve"> (Diffusée le 08/07/2016) : Modification de l'onglet de résultats pour présenter les émissions d'ammoniac par bâtiment par place par catégorie animale</t>
    </r>
  </si>
  <si>
    <r>
      <t xml:space="preserve">Verrats
</t>
    </r>
    <r>
      <rPr>
        <sz val="9"/>
        <color theme="1"/>
        <rFont val="Calibri"/>
        <family val="2"/>
        <scheme val="minor"/>
      </rPr>
      <t>kg NH3/an/place</t>
    </r>
  </si>
  <si>
    <r>
      <t xml:space="preserve">Truies en maternité
</t>
    </r>
    <r>
      <rPr>
        <sz val="9"/>
        <color theme="1"/>
        <rFont val="Calibri"/>
        <family val="2"/>
        <scheme val="minor"/>
      </rPr>
      <t>kg NH3/an/place</t>
    </r>
  </si>
  <si>
    <r>
      <t xml:space="preserve">Truies en attente de saillie &amp; Truies gestantes
</t>
    </r>
    <r>
      <rPr>
        <sz val="9"/>
        <color theme="1"/>
        <rFont val="Calibri"/>
        <family val="2"/>
        <scheme val="minor"/>
      </rPr>
      <t>kg NH3/an/place</t>
    </r>
  </si>
  <si>
    <t>N</t>
  </si>
  <si>
    <t>Données sources : RMT Elevage&amp;Environnement</t>
  </si>
  <si>
    <t>Engraissement 3 (31-118 kg)</t>
  </si>
  <si>
    <t>Production d’azote selon RMT Elevage&amp;Environnement (kg N/animal)</t>
  </si>
  <si>
    <t>kg supplémentaire au dessus de la tranche de 118kg par défaut</t>
  </si>
  <si>
    <t>Données tirées du GTE 2015</t>
  </si>
  <si>
    <t>Température moyenne sur la période 2005-2015</t>
  </si>
  <si>
    <t>Lieu du traitement</t>
  </si>
  <si>
    <t>A la ferme</t>
  </si>
  <si>
    <t>Tableau 5 : Liste des unités de traitement des fumiers et lisiers produits</t>
  </si>
  <si>
    <t>En station extérieure</t>
  </si>
  <si>
    <t>Type de traitement</t>
  </si>
  <si>
    <t>Forme de l'effluent sortant 
(après traitement)</t>
  </si>
  <si>
    <t>Tableau 6 : Liste des unités de stockage des fumiers et lisiers produits</t>
  </si>
  <si>
    <t>Nom du traitement</t>
  </si>
  <si>
    <t>Type d'effluent sortant du bâtiment</t>
  </si>
  <si>
    <t>Liquide et Solide</t>
  </si>
  <si>
    <t>traitement_solide</t>
  </si>
  <si>
    <t>stockage_solide</t>
  </si>
  <si>
    <t>Fosse non couverte alimentée par le bas (extérieure)</t>
  </si>
  <si>
    <t>Fosse non couverte (extérieure)</t>
  </si>
  <si>
    <t>stockage_liquide</t>
  </si>
  <si>
    <t>Type de traitement "traitement_sortie" et type de stockage "stockage_sortie".</t>
  </si>
  <si>
    <t>traitement_liquide</t>
  </si>
  <si>
    <r>
      <t xml:space="preserve">Destination des effluents pour le stockage
</t>
    </r>
    <r>
      <rPr>
        <sz val="9"/>
        <color rgb="FFFF0000"/>
        <rFont val="Calibri"/>
        <family val="2"/>
        <scheme val="minor"/>
      </rPr>
      <t>(A renseigner une fois le Tableau 6 rempli)</t>
    </r>
  </si>
  <si>
    <t>Liste totale</t>
  </si>
  <si>
    <t>Tri 1</t>
  </si>
  <si>
    <t>Ligne</t>
  </si>
  <si>
    <t>Liste définitive</t>
  </si>
  <si>
    <t>Pas de stockage</t>
  </si>
  <si>
    <t xml:space="preserve">Votre réponse à sélectionner ici : </t>
  </si>
  <si>
    <t xml:space="preserve">Traitement des effluents ? </t>
  </si>
  <si>
    <t>Réponse possible</t>
  </si>
  <si>
    <t>OUI</t>
  </si>
  <si>
    <t>NON</t>
  </si>
  <si>
    <t>Ne pas suprrimer cette ligne</t>
  </si>
  <si>
    <t>Valeurs à sélectionner dans une liste, une fois les cellules jaunes et roses renseignées</t>
  </si>
  <si>
    <t>Sélectionner dans une liste après avoir renseigné les cellules jaunes et roses</t>
  </si>
  <si>
    <t>Type d'effluent - Liste déroulante "type_effluent"</t>
  </si>
  <si>
    <t>Mode d'épandage lisier et fumier - Listes déroulantes "epandage_Liquide" et "epandage_Solide"</t>
  </si>
  <si>
    <t>Facteurs liés au traitement des effluents</t>
  </si>
  <si>
    <t>Lessivage (uniquement solide)</t>
  </si>
  <si>
    <t>Frac_lessivage (en % du TAN &amp; uniquement solide)</t>
  </si>
  <si>
    <t>Les effluents  de vos bâtiments subissent-ils un traitement particulier (séparation de phase, nitrification/dénitrification, compostage, méthanisation…) ?</t>
  </si>
  <si>
    <t>Ancienne valeur pour info</t>
  </si>
  <si>
    <t>Pour les autres, on conserve les valeurs de Vermorel</t>
  </si>
  <si>
    <t>inchangé</t>
  </si>
  <si>
    <t>Ces données sont tirées de "CH4_Rigolot et al._modif_AnD" pour 2015 pour les porcelets en post sevrage et les porcs à l'engrais.</t>
  </si>
  <si>
    <t>Nom de la destination liquide</t>
  </si>
  <si>
    <t>Nom de la destination solide</t>
  </si>
  <si>
    <t>Quantité de N en sortie de batiment (réorganisation raclage)</t>
  </si>
  <si>
    <t>Type de traitement Solide</t>
  </si>
  <si>
    <t>Type de traitement Liquide</t>
  </si>
  <si>
    <t>Type de gestion des déjections</t>
  </si>
  <si>
    <t>Nouvelle répartition après traitement</t>
  </si>
  <si>
    <t>TAN entrée (% N total)</t>
  </si>
  <si>
    <t>TAN sortie (% N total)</t>
  </si>
  <si>
    <t xml:space="preserve">Augmentation du TAN au cours de la méthanisation : </t>
  </si>
  <si>
    <t>Référence : "Effets de la méthanisation sur l'azote des lisiers de porc et conséquences sur son devenir au stockage et à l'épandage [1]</t>
  </si>
  <si>
    <t>Urines</t>
  </si>
  <si>
    <t>Feces</t>
  </si>
  <si>
    <t>Qté produite (kg/porc/j)</t>
  </si>
  <si>
    <t>N tot (kg/t)</t>
  </si>
  <si>
    <t>N-NH3 (kg/t)</t>
  </si>
  <si>
    <t>N org (kg/t)</t>
  </si>
  <si>
    <t>% de TAN dans les urines</t>
  </si>
  <si>
    <t>% de TAN dans les feces</t>
  </si>
  <si>
    <t>Total (kg/porc)</t>
  </si>
  <si>
    <t>Urines (kg/porc)</t>
  </si>
  <si>
    <t>Feces (kg/porc)</t>
  </si>
  <si>
    <t>Solide
kg TAN</t>
  </si>
  <si>
    <t>Liquide
kg TAN</t>
  </si>
  <si>
    <t>Traitement Solide
TAN Solide</t>
  </si>
  <si>
    <t>Traitement Solide
TAN Liquide</t>
  </si>
  <si>
    <t>Traitement Liquide
TAN Solide</t>
  </si>
  <si>
    <t>Traitement Liquide
TAN Liquide</t>
  </si>
  <si>
    <t>Référence :"Procédés de traitement des lisiers de porcs étudiés en France : principales techniques adaptées à la gestion des lisiers en zone d'excédent structurel", p. 24 figure 7 [3]</t>
  </si>
  <si>
    <t>Répartition du TAN pour le raclage en V - tiré de "Raclage en V : bilan environnemental et zootechnique lors des sept années" -  Tableau 2 [2]</t>
  </si>
  <si>
    <t>TAN Solide en sortie</t>
  </si>
  <si>
    <t>TAN Liquide en sortie</t>
  </si>
  <si>
    <t>Immobilisation pour traitement solide
solide (kg TAN)</t>
  </si>
  <si>
    <t>Traitement Solide
Solide kg TAN</t>
  </si>
  <si>
    <t>TAN_Stocké bis Solide</t>
  </si>
  <si>
    <t>TAN_Stocké bis Liquide</t>
  </si>
  <si>
    <t>TAN Solide total entrant
kg TAN</t>
  </si>
  <si>
    <t>TAN Liquide total entrant
kg TAN</t>
  </si>
  <si>
    <t>Suivi de l'azote dans la phase liquide (kg N)</t>
  </si>
  <si>
    <t>% de N org dans les urines (pour suivi azote)</t>
  </si>
  <si>
    <t>TAN</t>
  </si>
  <si>
    <t>Entrant lisier brut</t>
  </si>
  <si>
    <t>Sortie refus centrifuge</t>
  </si>
  <si>
    <t>Sortie liquide</t>
  </si>
  <si>
    <t>Traitement Solide
N Liquide pour suivi</t>
  </si>
  <si>
    <t>Traitement Liquide
N Liquide pour suivi</t>
  </si>
  <si>
    <t>Suivi de l'azote dans la phase solide (kg N)</t>
  </si>
  <si>
    <t>% de N org dans les feces (pour suivi azote)</t>
  </si>
  <si>
    <t>Azote Total Liquide</t>
  </si>
  <si>
    <t>N Liquide total entrant
kg N pour le suivi de l'azote</t>
  </si>
  <si>
    <t>Regroupement traitement + stockage</t>
  </si>
  <si>
    <t>FE stockage solide</t>
  </si>
  <si>
    <t>FE stockage liquide</t>
  </si>
  <si>
    <t>Emi_N_NH3
solide sans ajustement</t>
  </si>
  <si>
    <t>Emi_N_NH3
liquide sans ajustement</t>
  </si>
  <si>
    <t>Emi_N_NH3
solide avec ajustement</t>
  </si>
  <si>
    <t>Emi_N_NH3
liquide avec ajustement</t>
  </si>
  <si>
    <t>Emi_N_NH3
TOTAL</t>
  </si>
  <si>
    <t>Facteurs utilisés pour évaluer les émissions à l'épandage - EMEP 2013</t>
  </si>
  <si>
    <t>N_lixiv_solide</t>
  </si>
  <si>
    <t>TAN épandu solide 
kg TAN</t>
  </si>
  <si>
    <t>TAN épandu liquide
kg TAN</t>
  </si>
  <si>
    <t>Azote lessivé (uniquement solide)
kg Nlixiv / kg TAN</t>
  </si>
  <si>
    <t>Porcelets post-sevrage + porcs à l'engrais + cochettes</t>
  </si>
  <si>
    <t>Destination des effluents Solide</t>
  </si>
  <si>
    <t>Destination des effluents Liquide</t>
  </si>
  <si>
    <t>Indicateur batiment</t>
  </si>
  <si>
    <t>VS
kg/jour/animal</t>
  </si>
  <si>
    <t>Répartition de la matière organique pour le raclage en V - tiré de "Raclage en V : bilan environnemental et zootechnique lors des sept années" -  Tableau 2 [2]</t>
  </si>
  <si>
    <t>Mat org.</t>
  </si>
  <si>
    <t>% de  Mat.org ans les feces</t>
  </si>
  <si>
    <t>% de  Mat.org ans les urines</t>
  </si>
  <si>
    <t>Traitement</t>
  </si>
  <si>
    <t xml:space="preserve">Traitement </t>
  </si>
  <si>
    <t>On fait l'hypothèse que lors de la séparation de phase, les mêmes pourcentages que ceux du raclage s'appliquent.</t>
  </si>
  <si>
    <t>% MO dans le solide</t>
  </si>
  <si>
    <t>% MO dans le liquide</t>
  </si>
  <si>
    <t>Emissions de CH4 liées aux déjections - Calcul des VS&amp;MCF</t>
  </si>
  <si>
    <t>Référence : Options for Ammonia mitigation, p.19 : "scrubbers and biotrickling filters also reduce particulate matter by 70%</t>
  </si>
  <si>
    <t>N_lessivage</t>
  </si>
  <si>
    <t>Tableau 7 : Liste et caractérisation des épandages (fonction de la provenance de l'effluent, de sa forme et des modalités d'épandage)</t>
  </si>
  <si>
    <t>rapport entre le % de C émis par un lisier aéré et un lisier brut</t>
  </si>
  <si>
    <t>Composés azotés (NO) émis au stockage 
Solide (kg N-NO/kg TAN)</t>
  </si>
  <si>
    <t xml:space="preserve">Composés azotés (NO) émis au stockage
Liquide (kg N-NO/kg TAN) </t>
  </si>
  <si>
    <t>Composés azotés (N2) émis au stockage 
Solide (kg N-N2/kg TAN)</t>
  </si>
  <si>
    <t xml:space="preserve">Composés azotés (N2) émis au stockage
Liquide (kg N-N2/kg TAN) </t>
  </si>
  <si>
    <t>Emissions additionnelles de N2 liées au traitement
(et valeur spécifique pour le compostage du lisier)</t>
  </si>
  <si>
    <t>Emi_N_NO solide</t>
  </si>
  <si>
    <t>Emi_N_NO liquide</t>
  </si>
  <si>
    <t>Emi_N_N2O solide</t>
  </si>
  <si>
    <t>Emi_N_N2O liquide</t>
  </si>
  <si>
    <t>Emi_N_N2 solide</t>
  </si>
  <si>
    <t>Emi_N_N2 liquide</t>
  </si>
  <si>
    <t>Emi_N-NO (kg N-NO)</t>
  </si>
  <si>
    <t>Porcelet en post sevrage</t>
  </si>
  <si>
    <t>Porcs à l'engrais, cochettes</t>
  </si>
  <si>
    <t>Emi_N_N20 bat et stockage</t>
  </si>
  <si>
    <t>N_lixiv total</t>
  </si>
  <si>
    <t>T N</t>
  </si>
  <si>
    <t>Azote apporté par la paille par bâtiment pour cette catégorie
(kg N)</t>
  </si>
  <si>
    <t>Azote apporté par la paille batiment pour le traitement solide
solide (kg N)</t>
  </si>
  <si>
    <t>Taux de MS pour la paille ajoutée (kg/kg)</t>
  </si>
  <si>
    <t>Facteur d'abattement pour la nitrification dénitrification tiré de "Emissions gazeuses en élevage porcin et modes de réduction : revue bibliographique" [4]</t>
  </si>
  <si>
    <t>Calcul du TAN stocké bis avec traitement et/ou stockage</t>
  </si>
  <si>
    <t>Pour l'épandage</t>
  </si>
  <si>
    <t>Lessivage (tout effluent)</t>
  </si>
  <si>
    <t>Attention : il est indispensable de renseigner la colonne "Destination des effluents" dans le tableau 4 une fois les tableaux 5 (traitement) et 6 (stockage) finalisés.
De même, si concerné, il est indispensable de renseigner la colonne "Destination des effluents" dans le tableau 5 une fois le tableau 6 (stockage) finalisé.</t>
  </si>
  <si>
    <t>Cellule contenant une formule (ne pas modifier)</t>
  </si>
  <si>
    <t>Donnée indicative (non modifiable, à valeur informative)</t>
  </si>
  <si>
    <t>Données indicatives</t>
  </si>
  <si>
    <t>Forme de l'effluent entrant
(avant traitement)</t>
  </si>
  <si>
    <r>
      <t xml:space="preserve">Destination des effluents
</t>
    </r>
    <r>
      <rPr>
        <sz val="9"/>
        <color rgb="FFFF0000"/>
        <rFont val="Calibri"/>
        <family val="2"/>
        <scheme val="minor"/>
      </rPr>
      <t>(A renseigner une fois les Tableaux 5 et 6 remplis)</t>
    </r>
  </si>
  <si>
    <r>
      <t xml:space="preserve">2. Assurez-vous de bien remplir </t>
    </r>
    <r>
      <rPr>
        <b/>
        <u/>
        <sz val="11"/>
        <color theme="1"/>
        <rFont val="Calibri"/>
        <family val="2"/>
        <scheme val="minor"/>
      </rPr>
      <t>toutes les cellules en jaune, en rose et en vert</t>
    </r>
    <r>
      <rPr>
        <sz val="11"/>
        <color theme="1"/>
        <rFont val="Calibri"/>
        <family val="2"/>
        <scheme val="minor"/>
      </rPr>
      <t xml:space="preserve">. Si vous ne choisissez pas de valeur pour une cellule rose ou verte (sauf dans le cas où la liste apparaît vide), les calculs des émissions ne s'effectuent pas. </t>
    </r>
  </si>
  <si>
    <t>OUTIL D'AIDE A L'EVALUATION DES EMISSIONS A L'AIR DES ELEVAGES IED PORCINS</t>
  </si>
  <si>
    <r>
      <rPr>
        <b/>
        <sz val="11"/>
        <color theme="1"/>
        <rFont val="Calibri"/>
        <family val="2"/>
        <scheme val="minor"/>
      </rPr>
      <t>v3.4</t>
    </r>
    <r>
      <rPr>
        <sz val="11"/>
        <color theme="1"/>
        <rFont val="Calibri"/>
        <family val="2"/>
        <scheme val="minor"/>
      </rPr>
      <t xml:space="preserve"> (Diffusée le 20/12/2016) : Modification de l'outil pour ajouter un poste "Traitement", pouvant impacter le calcul des émissions selon les situations. Actualisation des références d'excrétions azotées, des facteurs d'émission particules et de CH</t>
    </r>
    <r>
      <rPr>
        <vertAlign val="subscript"/>
        <sz val="11"/>
        <color theme="1"/>
        <rFont val="Calibri"/>
        <family val="2"/>
        <scheme val="minor"/>
      </rPr>
      <t>4</t>
    </r>
    <r>
      <rPr>
        <sz val="11"/>
        <color theme="1"/>
        <rFont val="Calibri"/>
        <family val="2"/>
        <scheme val="minor"/>
      </rPr>
      <t>, de la méthodologie de calcul du CH</t>
    </r>
    <r>
      <rPr>
        <vertAlign val="subscript"/>
        <sz val="11"/>
        <color theme="1"/>
        <rFont val="Calibri"/>
        <family val="2"/>
        <scheme val="minor"/>
      </rPr>
      <t>4</t>
    </r>
    <r>
      <rPr>
        <sz val="11"/>
        <color theme="1"/>
        <rFont val="Calibri"/>
        <family val="2"/>
        <scheme val="minor"/>
      </rPr>
      <t xml:space="preserve"> des déjections ainsi que de la méthodologie de suivi de l'azote.</t>
    </r>
  </si>
  <si>
    <r>
      <t xml:space="preserve">Immobilisation pour traitement
liquide (kg TAN) - </t>
    </r>
    <r>
      <rPr>
        <b/>
        <sz val="11"/>
        <rFont val="Calibri"/>
        <family val="2"/>
        <scheme val="minor"/>
      </rPr>
      <t>uniquement pour le lisier composté</t>
    </r>
  </si>
  <si>
    <r>
      <t>TOTAL épandage</t>
    </r>
    <r>
      <rPr>
        <b/>
        <sz val="14"/>
        <rFont val="Calibri"/>
        <family val="2"/>
        <scheme val="minor"/>
      </rPr>
      <t xml:space="preserve"> (sur terres gérées par l'exploitant)</t>
    </r>
  </si>
  <si>
    <r>
      <t>TOTAL épandage</t>
    </r>
    <r>
      <rPr>
        <b/>
        <sz val="14"/>
        <rFont val="Calibri"/>
        <family val="2"/>
        <scheme val="minor"/>
      </rPr>
      <t xml:space="preserve"> (sur autres terres)</t>
    </r>
  </si>
  <si>
    <r>
      <t>TOTAL épandage</t>
    </r>
    <r>
      <rPr>
        <b/>
        <sz val="14"/>
        <rFont val="Calibri"/>
        <family val="2"/>
        <scheme val="minor"/>
      </rPr>
      <t xml:space="preserve"> (effluents normalisés exportés)</t>
    </r>
  </si>
  <si>
    <t>Système de gestion des déjections - Correspondance pour liste déroulante conditionnelle "correspondance_dejections" &amp; "type_efflu_bat"</t>
  </si>
  <si>
    <r>
      <t xml:space="preserve">Allocation stockage et traitement : liste déroulante sans valeur nulle </t>
    </r>
    <r>
      <rPr>
        <b/>
        <u/>
        <sz val="11"/>
        <rFont val="Calibri"/>
        <family val="2"/>
        <scheme val="minor"/>
      </rPr>
      <t>uniquement pour le liquide</t>
    </r>
  </si>
  <si>
    <r>
      <t xml:space="preserve">Allocation stockage et traitement : liste déroulante sans valeur nulle </t>
    </r>
    <r>
      <rPr>
        <b/>
        <u/>
        <sz val="11"/>
        <rFont val="Calibri"/>
        <family val="2"/>
        <scheme val="minor"/>
      </rPr>
      <t>uniquement pour le solide</t>
    </r>
  </si>
  <si>
    <r>
      <t xml:space="preserve">Allocation stockage après traitement : liste déroulante sans valeur nulle </t>
    </r>
    <r>
      <rPr>
        <b/>
        <u/>
        <sz val="11"/>
        <rFont val="Calibri"/>
        <family val="2"/>
        <scheme val="minor"/>
      </rPr>
      <t>uniquement pour le liquide</t>
    </r>
  </si>
  <si>
    <r>
      <t xml:space="preserve">Allocation stockage après traitement : liste déroulante sans valeur nulle </t>
    </r>
    <r>
      <rPr>
        <b/>
        <u/>
        <sz val="11"/>
        <rFont val="Calibri"/>
        <family val="2"/>
        <scheme val="minor"/>
      </rPr>
      <t>uniquement pour le solide</t>
    </r>
  </si>
  <si>
    <r>
      <t xml:space="preserve">Facteur d'immobilisation en kg TAN/kg MS paille </t>
    </r>
    <r>
      <rPr>
        <i/>
        <sz val="11"/>
        <rFont val="Calibri"/>
        <family val="2"/>
        <scheme val="minor"/>
      </rPr>
      <t>(fumier uniquement)</t>
    </r>
  </si>
  <si>
    <r>
      <t xml:space="preserve">Facteur de minéralisation de l'azote organique kg/TAN/kg/N/An
</t>
    </r>
    <r>
      <rPr>
        <i/>
        <sz val="10"/>
        <rFont val="Calibri"/>
        <family val="2"/>
        <scheme val="minor"/>
      </rPr>
      <t>(lisier uniquement)</t>
    </r>
  </si>
  <si>
    <r>
      <t>B</t>
    </r>
    <r>
      <rPr>
        <b/>
        <vertAlign val="subscript"/>
        <sz val="10"/>
        <rFont val="Arial"/>
        <family val="2"/>
      </rPr>
      <t>0</t>
    </r>
  </si>
  <si>
    <r>
      <t>FE PM</t>
    </r>
    <r>
      <rPr>
        <vertAlign val="subscript"/>
        <sz val="11"/>
        <rFont val="Calibri"/>
        <family val="2"/>
        <scheme val="minor"/>
      </rPr>
      <t>10</t>
    </r>
    <r>
      <rPr>
        <sz val="11"/>
        <rFont val="Calibri"/>
        <family val="2"/>
        <scheme val="minor"/>
      </rPr>
      <t xml:space="preserve"> (kg/tête/an)</t>
    </r>
  </si>
  <si>
    <t>FE TSP (kg/tête/an)</t>
  </si>
  <si>
    <r>
      <t>Lisier -</t>
    </r>
    <r>
      <rPr>
        <i/>
        <sz val="10"/>
        <rFont val="Calibri"/>
        <family val="2"/>
        <scheme val="minor"/>
      </rPr>
      <t xml:space="preserve"> (sans formation d'une croûte naturelle)</t>
    </r>
  </si>
  <si>
    <r>
      <t>Lisier -</t>
    </r>
    <r>
      <rPr>
        <i/>
        <sz val="10"/>
        <rFont val="Calibri"/>
        <family val="2"/>
        <scheme val="minor"/>
      </rPr>
      <t xml:space="preserve"> (avec formation d'une croûte naturelle)</t>
    </r>
  </si>
  <si>
    <r>
      <rPr>
        <i/>
        <u/>
        <sz val="9"/>
        <color theme="1"/>
        <rFont val="Calibri"/>
        <family val="2"/>
        <scheme val="minor"/>
      </rPr>
      <t>Par exemple</t>
    </r>
    <r>
      <rPr>
        <i/>
        <sz val="9"/>
        <color theme="1"/>
        <rFont val="Calibri"/>
        <family val="2"/>
        <scheme val="minor"/>
      </rPr>
      <t xml:space="preserve"> : les effluents liquides des bâtiments 1 et 2 sont récupérés dans une même fosse, 60% de l'ensemble part en station de nitrification, 40% restent sur l'exploitation.</t>
    </r>
  </si>
  <si>
    <t xml:space="preserve">Pour les effluents liquides : </t>
  </si>
  <si>
    <t xml:space="preserve">                                   Pour les effluents solides : </t>
  </si>
  <si>
    <t>Vérification épandage (doit être égal à 100% une fois le tableau 7 rempli)</t>
  </si>
  <si>
    <t>Si concerné, doit être égal à 100%</t>
  </si>
  <si>
    <t>Nombre d'éléments de la liste</t>
  </si>
  <si>
    <t>Total :</t>
  </si>
  <si>
    <t>Valeur de validité liste déroulante :</t>
  </si>
  <si>
    <t>Liste liquide</t>
  </si>
  <si>
    <t>Ne pas supprimer cette ligne</t>
  </si>
  <si>
    <t>Liste solide</t>
  </si>
  <si>
    <t>J'utilise une zone de préstockage commune pour récupérer les effluents de mes différents bâtiments avant traitement et/ou stockage :</t>
  </si>
  <si>
    <r>
      <t>Question 1 : Regroupez-vous les effluents de</t>
    </r>
    <r>
      <rPr>
        <b/>
        <u/>
        <sz val="10"/>
        <rFont val="Calibri"/>
        <family val="2"/>
        <scheme val="minor"/>
      </rPr>
      <t xml:space="preserve"> plusieurs bâtiments</t>
    </r>
    <r>
      <rPr>
        <b/>
        <sz val="10"/>
        <rFont val="Calibri"/>
        <family val="2"/>
        <scheme val="minor"/>
      </rPr>
      <t xml:space="preserve"> avant de les répartir entre différents traitements et/ou stockage ?</t>
    </r>
  </si>
  <si>
    <t>fosse de réception commune liquide</t>
  </si>
  <si>
    <t>fumière commune solide</t>
  </si>
  <si>
    <t>Tous les effluents liquides de la fosse de réception commune liquide ont-ils été renseignés ?</t>
  </si>
  <si>
    <t>Tous les effluents solides de la fumière commune solide ont-ils été renseignés ?</t>
  </si>
  <si>
    <t>% de la fumière commune solide alimentant le traitement</t>
  </si>
  <si>
    <t>% de la fosse de réception commune liquide alimentant le traitement</t>
  </si>
  <si>
    <t>Pool d'azote dans les fosses communes / fumières communes</t>
  </si>
  <si>
    <t>% de la fosse de réception commune liquide alimentant le stockage</t>
  </si>
  <si>
    <t>% de la fumière commune solide alimentant le stockage</t>
  </si>
  <si>
    <t xml:space="preserve">Nom de gestion commune : </t>
  </si>
  <si>
    <t>Taux de N pour la paille ajoutée (kg/kg MS)</t>
  </si>
  <si>
    <t>Immobilisation au bâtiment</t>
  </si>
  <si>
    <t>Solide après immobilisation
kg TAN</t>
  </si>
  <si>
    <t>Azote du solide après immobilisation
kg N</t>
  </si>
  <si>
    <t>Porcelets en post-sevrage + porcs à l'engrais + cochettes</t>
  </si>
  <si>
    <t>Poste traitement</t>
  </si>
  <si>
    <t>Destination des effluents</t>
  </si>
  <si>
    <t>Gestion commune des déjections</t>
  </si>
  <si>
    <r>
      <t xml:space="preserve">Traitement Liquide </t>
    </r>
    <r>
      <rPr>
        <b/>
        <sz val="11"/>
        <rFont val="Calibri"/>
        <family val="2"/>
        <scheme val="minor"/>
      </rPr>
      <t>azote</t>
    </r>
    <r>
      <rPr>
        <sz val="11"/>
        <rFont val="Calibri"/>
        <family val="2"/>
        <scheme val="minor"/>
      </rPr>
      <t xml:space="preserve"> </t>
    </r>
    <r>
      <rPr>
        <b/>
        <sz val="11"/>
        <rFont val="Calibri"/>
        <family val="2"/>
        <scheme val="minor"/>
      </rPr>
      <t xml:space="preserve">entrant total </t>
    </r>
    <r>
      <rPr>
        <sz val="11"/>
        <rFont val="Calibri"/>
        <family val="2"/>
        <scheme val="minor"/>
      </rPr>
      <t xml:space="preserve">
Liquide kg N</t>
    </r>
  </si>
  <si>
    <r>
      <t xml:space="preserve">Traitement Liquide </t>
    </r>
    <r>
      <rPr>
        <b/>
        <sz val="11"/>
        <rFont val="Calibri"/>
        <family val="2"/>
        <scheme val="minor"/>
      </rPr>
      <t xml:space="preserve">entrant total </t>
    </r>
    <r>
      <rPr>
        <sz val="11"/>
        <rFont val="Calibri"/>
        <family val="2"/>
        <scheme val="minor"/>
      </rPr>
      <t xml:space="preserve">
Liquide kg TAN</t>
    </r>
  </si>
  <si>
    <t>Emissions additionnelles de N2 (nitrification/dénitrification&amp;compostage du lisier) - Traitement liquide partie liquide</t>
  </si>
  <si>
    <t>Traitement Solide
azote Solide kg N</t>
  </si>
  <si>
    <t>Traitement Solide, azote disponible</t>
  </si>
  <si>
    <t>Traitement Liquide : répartiton pour compostage / séparation pré nitri</t>
  </si>
  <si>
    <r>
      <t xml:space="preserve">Azote apporté par la paille liée au traitement pour cette catégorie
(kg N)
</t>
    </r>
    <r>
      <rPr>
        <b/>
        <sz val="11"/>
        <rFont val="Calibri"/>
        <family val="2"/>
        <scheme val="minor"/>
      </rPr>
      <t>uniquement pour le lisier composté</t>
    </r>
  </si>
  <si>
    <t xml:space="preserve">Traitement Liquide 
Liquide pour traitement
kg TAN </t>
  </si>
  <si>
    <r>
      <t xml:space="preserve">Traitement Liquide 
</t>
    </r>
    <r>
      <rPr>
        <b/>
        <sz val="11"/>
        <rFont val="Calibri"/>
        <family val="2"/>
        <scheme val="minor"/>
      </rPr>
      <t xml:space="preserve">Solide pour traitement </t>
    </r>
    <r>
      <rPr>
        <sz val="11"/>
        <rFont val="Calibri"/>
        <family val="2"/>
        <scheme val="minor"/>
      </rPr>
      <t xml:space="preserve">kg TAN
</t>
    </r>
  </si>
  <si>
    <t xml:space="preserve">Truies et verrats </t>
  </si>
  <si>
    <t>Nex solide en sortie de bâtiment</t>
  </si>
  <si>
    <t>Nex liquide en sortie de bâtiment</t>
  </si>
  <si>
    <t>Azote provenant des bâtiments</t>
  </si>
  <si>
    <t>Azote provenant des gestions communes</t>
  </si>
  <si>
    <t>Compostage toujours solide en sortie</t>
  </si>
  <si>
    <t>FE N-N2O associé</t>
  </si>
  <si>
    <t>Emi N-N2O associées</t>
  </si>
  <si>
    <t>Azote sortant solide</t>
  </si>
  <si>
    <t>Azote sortant liquide</t>
  </si>
  <si>
    <t>Destination liquide</t>
  </si>
  <si>
    <t>Destination solide</t>
  </si>
  <si>
    <t>Azote arrivant hors compostage
Solide</t>
  </si>
  <si>
    <t>Azote arrivant hors compostage
Liquide</t>
  </si>
  <si>
    <t>Azote provenant des bâtiments directement et du traitement</t>
  </si>
  <si>
    <t>Liste des FE N-N2O</t>
  </si>
  <si>
    <t>Emi N_N2O associée</t>
  </si>
  <si>
    <t>FE TSP
Fumier (kg/place)</t>
  </si>
  <si>
    <t>FE TSP
Lisier (kg/place)</t>
  </si>
  <si>
    <t>Nombre de places</t>
  </si>
  <si>
    <t>SV (kg/tête/jour)</t>
  </si>
  <si>
    <t>VS sortant solide</t>
  </si>
  <si>
    <t>VS sortant liquide</t>
  </si>
  <si>
    <t>Pool de VS dans les fosses communes / fumières communes</t>
  </si>
  <si>
    <t>VS Solide</t>
  </si>
  <si>
    <t>VS Liquide</t>
  </si>
  <si>
    <t>Provenance bâtiment</t>
  </si>
  <si>
    <t>Provenance gestion commune</t>
  </si>
  <si>
    <t>VS Solide au bâtiment plus d'un mois</t>
  </si>
  <si>
    <t>VS Liquide au bâtiment plus d'un mois</t>
  </si>
  <si>
    <t>Emi CH4 Solide</t>
  </si>
  <si>
    <t>Emi CH4 Liquide</t>
  </si>
  <si>
    <t>MCF associé Solide</t>
  </si>
  <si>
    <t>MCF associé Liquide</t>
  </si>
  <si>
    <t>Indicateur traitement pour MCF</t>
  </si>
  <si>
    <t>MCF associé</t>
  </si>
  <si>
    <t>Emi CH4 associées</t>
  </si>
  <si>
    <t>FA asso ié au traitement</t>
  </si>
  <si>
    <t>VS solide sortant du traitement après affectation du FA</t>
  </si>
  <si>
    <t>VS liquide sortant du traitement après affectation du FA</t>
  </si>
  <si>
    <t>Provenance directe  des bâtiments + provenance traitement</t>
  </si>
  <si>
    <t>Indicateur stockage pour MCF</t>
  </si>
  <si>
    <r>
      <t xml:space="preserve">Répartition du </t>
    </r>
    <r>
      <rPr>
        <b/>
        <sz val="11"/>
        <rFont val="Calibri"/>
        <family val="2"/>
        <scheme val="minor"/>
      </rPr>
      <t>nombre de places</t>
    </r>
    <r>
      <rPr>
        <sz val="11"/>
        <rFont val="Calibri"/>
        <family val="2"/>
        <scheme val="minor"/>
      </rPr>
      <t xml:space="preserve"> par catégorie au sein d'un même bâtiment (utile pour la répartition de la paille)</t>
    </r>
  </si>
  <si>
    <t>Nombre de places total, toute catégorie confondue</t>
  </si>
  <si>
    <t>Emi N_N2O à ajouter provenant du compostage précédent associé au stockage en question</t>
  </si>
  <si>
    <t>Emi N-N2 (kg N-N2)</t>
  </si>
  <si>
    <t>N_volat au batiment
(kg N-NH3 &amp; N-NO)</t>
  </si>
  <si>
    <t>N_volat à l'épandage
(kg N-NH3 &amp; N-NO)</t>
  </si>
  <si>
    <t>FE N-NO (% du N épandu)</t>
  </si>
  <si>
    <t>TRAITEMENT DU N2O - Poste traitement _ à partir du Nex bâtiment et pas Nex suivi</t>
  </si>
  <si>
    <t>TRAITEMENT DU N2O - Poste stockage _ à partir du Nex bâtiment et pas Nex suivi</t>
  </si>
  <si>
    <t>CALCUL sur le Nex du bâtiment et pas le Nex suivi. Uniquement pour le calcul des émissions de N2O</t>
  </si>
  <si>
    <t>Traitement Solide
N Solide pour suivi</t>
  </si>
  <si>
    <t>Traitement Liquide
N Solide pour suivi</t>
  </si>
  <si>
    <t>N Solide total entrant
kg N pour le suivi de l'azote</t>
  </si>
  <si>
    <t>Suivi de l'azote</t>
  </si>
  <si>
    <t>N_dispo pour épandage solide (kg N)</t>
  </si>
  <si>
    <t>N_dispo pour épandage liquide (kg N)</t>
  </si>
  <si>
    <t>Azote épandu sur terres en propre (kg N)</t>
  </si>
  <si>
    <r>
      <rPr>
        <b/>
        <sz val="11"/>
        <color theme="1"/>
        <rFont val="Calibri"/>
        <family val="2"/>
        <scheme val="minor"/>
      </rPr>
      <t>v3.5</t>
    </r>
    <r>
      <rPr>
        <sz val="11"/>
        <color theme="1"/>
        <rFont val="Calibri"/>
        <family val="2"/>
        <scheme val="minor"/>
      </rPr>
      <t xml:space="preserve"> (Diffusée le 31/01/2017) : Modification de l'outil pour prendre en compte les cas de gestion commune des effluents provenant de différents bâtiments. Mise à jour de la méthode de suivi de l'azote. Mise à jour du facteur d'abattement appliqué pour la séparation de phase suivie d'un traitement par nitrification-dénitrification. Correction de la méthode de calcul des émissions de particules, toute catégorie confondue. Mise à jour du FE de CH</t>
    </r>
    <r>
      <rPr>
        <vertAlign val="subscript"/>
        <sz val="11"/>
        <color theme="1"/>
        <rFont val="Calibri"/>
        <family val="2"/>
        <scheme val="minor"/>
      </rPr>
      <t>4</t>
    </r>
    <r>
      <rPr>
        <sz val="11"/>
        <color theme="1"/>
        <rFont val="Calibri"/>
        <family val="2"/>
        <scheme val="minor"/>
      </rPr>
      <t xml:space="preserve"> entérique des cochettes. Mise à jour de la méthode de calcul des émissions de CH</t>
    </r>
    <r>
      <rPr>
        <vertAlign val="subscript"/>
        <sz val="11"/>
        <color theme="1"/>
        <rFont val="Calibri"/>
        <family val="2"/>
        <scheme val="minor"/>
      </rPr>
      <t>4</t>
    </r>
    <r>
      <rPr>
        <sz val="11"/>
        <color theme="1"/>
        <rFont val="Calibri"/>
        <family val="2"/>
        <scheme val="minor"/>
      </rPr>
      <t xml:space="preserve"> liées à la gestion des déjections. Modification de l'expression des BAT-AEL par bâtiment qui sont exprimées désormais par emplacement disponible (et non plus par emplacement occupé).</t>
    </r>
  </si>
  <si>
    <r>
      <rPr>
        <b/>
        <sz val="11"/>
        <rFont val="Calibri"/>
        <family val="2"/>
        <scheme val="minor"/>
      </rPr>
      <t xml:space="preserve">Emi N-NH3 </t>
    </r>
    <r>
      <rPr>
        <sz val="11"/>
        <rFont val="Calibri"/>
        <family val="2"/>
        <scheme val="minor"/>
      </rPr>
      <t>Porcelets en post-sevrage + porcs à l'engrais + cochettes</t>
    </r>
  </si>
  <si>
    <r>
      <t xml:space="preserve">Emi N-NH3 </t>
    </r>
    <r>
      <rPr>
        <sz val="11"/>
        <rFont val="Calibri"/>
        <family val="2"/>
        <scheme val="minor"/>
      </rPr>
      <t>Truies et verrats</t>
    </r>
  </si>
  <si>
    <t>Mixte engraisseurs</t>
  </si>
  <si>
    <t>Post sevreur engraisseurs</t>
  </si>
  <si>
    <t>NAISSEURS ENGRAISSEURS</t>
  </si>
  <si>
    <t>ENGRAISSEURS</t>
  </si>
  <si>
    <t>Nombre d'élevage</t>
  </si>
  <si>
    <t>Nombre de truie présente (*porcs entrés)</t>
  </si>
  <si>
    <t>Représentativité</t>
  </si>
  <si>
    <t>Poids moyen pondéré</t>
  </si>
  <si>
    <t xml:space="preserve">Démarrage de la liste : </t>
  </si>
  <si>
    <t>Hypothèse conservatrice</t>
  </si>
  <si>
    <t>Evacuation mécanique avec racleurs en V</t>
  </si>
  <si>
    <t>Evacuation par chasse avec la fraction liquide du lisier</t>
  </si>
  <si>
    <t>Lisier flottant</t>
  </si>
  <si>
    <t>Biolaveur</t>
  </si>
  <si>
    <t>Laveur d'air combiné</t>
  </si>
  <si>
    <t>Laveur acide</t>
  </si>
  <si>
    <t>Autres traitements</t>
  </si>
  <si>
    <t>Pas de traitement</t>
  </si>
  <si>
    <t>Couvertures rigide et souple</t>
  </si>
  <si>
    <t>Croûte naturelle, paille, balles en plastique, matériaux légers en vrac</t>
  </si>
  <si>
    <t>Couvertures souples flottantes, plaques géométriques en plastique, couvertures gonflables, feuilles de plastique souples</t>
  </si>
  <si>
    <t>Buse palette (incorporation immédiate)</t>
  </si>
  <si>
    <t>Buse palette &lt;4h (incorporation dans les 4h)</t>
  </si>
  <si>
    <t>Pendillards à tubes trainés (sans incorporation)</t>
  </si>
  <si>
    <t>Pendillards à tubes trainés (incorporation immédiate)</t>
  </si>
  <si>
    <t>Pendillards à tubes trainés &lt;4h (incorporation dans les 4h)</t>
  </si>
  <si>
    <t>Pendillards à tubes trainés &lt;12h (incorporation dans les 12h)</t>
  </si>
  <si>
    <t>Pendillards à tubes trainés &lt;24h (incorporation dans les 24h)</t>
  </si>
  <si>
    <t>Pendillards à tubes trainés &gt;24h (incorporation après 24h)</t>
  </si>
  <si>
    <t>Injecteur (sillon ouvert)</t>
  </si>
  <si>
    <t>Enfouisseur (sillon fermé)</t>
  </si>
  <si>
    <t>Incorporation immédiate</t>
  </si>
  <si>
    <t>Incorporation dans les 4h</t>
  </si>
  <si>
    <t>FA ambiances (cf. FA_GEREP.xls)</t>
  </si>
  <si>
    <r>
      <t xml:space="preserve">Porcelets en post-sevrage
</t>
    </r>
    <r>
      <rPr>
        <sz val="8"/>
        <color theme="1"/>
        <rFont val="Calibri"/>
        <family val="2"/>
        <scheme val="minor"/>
      </rPr>
      <t>kg NH3/an/place</t>
    </r>
  </si>
  <si>
    <r>
      <t xml:space="preserve">Cochettes
</t>
    </r>
    <r>
      <rPr>
        <sz val="8"/>
        <color theme="1"/>
        <rFont val="Calibri"/>
        <family val="2"/>
        <scheme val="minor"/>
      </rPr>
      <t>kg NH3/an/place</t>
    </r>
  </si>
  <si>
    <r>
      <rPr>
        <sz val="9"/>
        <color theme="1"/>
        <rFont val="Calibri"/>
        <family val="2"/>
        <scheme val="minor"/>
      </rPr>
      <t xml:space="preserve"> Toute catégorie </t>
    </r>
    <r>
      <rPr>
        <b/>
        <u/>
        <sz val="9"/>
        <color theme="1"/>
        <rFont val="Calibri"/>
        <family val="2"/>
        <scheme val="minor"/>
      </rPr>
      <t xml:space="preserve">confondue
</t>
    </r>
    <r>
      <rPr>
        <sz val="9"/>
        <color theme="1"/>
        <rFont val="Calibri"/>
        <family val="2"/>
        <scheme val="minor"/>
      </rPr>
      <t>kg NH3/an/place</t>
    </r>
  </si>
  <si>
    <r>
      <rPr>
        <sz val="9"/>
        <color theme="1"/>
        <rFont val="Calibri"/>
        <family val="2"/>
        <scheme val="minor"/>
      </rPr>
      <t xml:space="preserve"> Toute catégorie </t>
    </r>
    <r>
      <rPr>
        <b/>
        <u/>
        <sz val="9"/>
        <color theme="1"/>
        <rFont val="Calibri"/>
        <family val="2"/>
        <scheme val="minor"/>
      </rPr>
      <t>confondue</t>
    </r>
    <r>
      <rPr>
        <b/>
        <sz val="9"/>
        <color theme="1"/>
        <rFont val="Calibri"/>
        <family val="2"/>
        <scheme val="minor"/>
      </rPr>
      <t xml:space="preserve">
</t>
    </r>
    <r>
      <rPr>
        <sz val="9"/>
        <color theme="1"/>
        <rFont val="Calibri"/>
        <family val="2"/>
        <scheme val="minor"/>
      </rPr>
      <t>kg NH3/an/place</t>
    </r>
  </si>
  <si>
    <t>Stockage en préfosse - évacuation du lisier minimum tous les 15 jours</t>
  </si>
  <si>
    <t>Stockage en préfosse - évacuation du lisier minimum 2 fois par semaine</t>
  </si>
  <si>
    <t>Ionisation</t>
  </si>
  <si>
    <t>Excrétion (kgN/place/an) spécifique</t>
  </si>
  <si>
    <t>Fex (kgN/place) spécifique</t>
  </si>
  <si>
    <t>Fex (kgN/place) choisi</t>
  </si>
  <si>
    <t>Mortalité pour recalcul des effectifs</t>
  </si>
  <si>
    <t>Naisseur traditionnel</t>
  </si>
  <si>
    <t>Taux de perte et saisie PS</t>
  </si>
  <si>
    <t>Taux de perte et saisie pondéré PS</t>
  </si>
  <si>
    <t>Taux de perte et saisie Engraissement</t>
  </si>
  <si>
    <t>Taux de perte et saisie pondéré Engraissement</t>
  </si>
  <si>
    <t>Nex (kgN/place) par défaut</t>
  </si>
  <si>
    <t>Mortalité</t>
  </si>
  <si>
    <t>Effectifs moyens</t>
  </si>
  <si>
    <t>Porcelets post sevrage</t>
  </si>
  <si>
    <t>naisseur_engraisseur</t>
  </si>
  <si>
    <t>engraisseur</t>
  </si>
  <si>
    <t>Nex (kg N/place) spécifique</t>
  </si>
  <si>
    <t xml:space="preserve">Nex (kg N) </t>
  </si>
  <si>
    <r>
      <t xml:space="preserve">Excretion (kgN/placel/an) par défaut 
</t>
    </r>
    <r>
      <rPr>
        <i/>
        <sz val="9"/>
        <color theme="1"/>
        <rFont val="Calibri"/>
        <family val="2"/>
        <scheme val="minor"/>
      </rPr>
      <t>Pour information</t>
    </r>
  </si>
  <si>
    <t>effectis moyen</t>
  </si>
  <si>
    <r>
      <rPr>
        <b/>
        <sz val="11"/>
        <color theme="1"/>
        <rFont val="Calibri"/>
        <family val="2"/>
        <scheme val="minor"/>
      </rPr>
      <t>v3.6</t>
    </r>
    <r>
      <rPr>
        <sz val="11"/>
        <color theme="1"/>
        <rFont val="Calibri"/>
        <family val="2"/>
        <scheme val="minor"/>
      </rPr>
      <t xml:space="preserve"> (Diffusée le 09</t>
    </r>
    <r>
      <rPr>
        <sz val="11"/>
        <rFont val="Calibri"/>
        <family val="2"/>
        <scheme val="minor"/>
      </rPr>
      <t>/06/2017</t>
    </r>
    <r>
      <rPr>
        <sz val="11"/>
        <color theme="1"/>
        <rFont val="Calibri"/>
        <family val="2"/>
        <scheme val="minor"/>
      </rPr>
      <t xml:space="preserve">) : Adaptation de l'outil pour le rendre IED compatible. Mise à jour des techiques de réduction proposées et des facteurs d'ajustement associés. Correction du calcul de répartition de l'azote pour le poste traitement. Correction du calcul pour la méthanisation. </t>
    </r>
  </si>
  <si>
    <t>Fex (kgN/tête) par défaut</t>
  </si>
  <si>
    <r>
      <rPr>
        <b/>
        <sz val="11"/>
        <color theme="1"/>
        <rFont val="Calibri"/>
        <family val="2"/>
        <scheme val="minor"/>
      </rPr>
      <t>v3.7</t>
    </r>
    <r>
      <rPr>
        <sz val="11"/>
        <color theme="1"/>
        <rFont val="Calibri"/>
        <family val="2"/>
        <scheme val="minor"/>
      </rPr>
      <t xml:space="preserve"> (Diffusé</t>
    </r>
    <r>
      <rPr>
        <sz val="11"/>
        <rFont val="Calibri"/>
        <family val="2"/>
        <scheme val="minor"/>
      </rPr>
      <t>e le 03/07/2017</t>
    </r>
    <r>
      <rPr>
        <sz val="11"/>
        <color theme="1"/>
        <rFont val="Calibri"/>
        <family val="2"/>
        <scheme val="minor"/>
      </rPr>
      <t>) : Correction du calcul de l'azote excrété total par catégorie et du calcul des émissions de CH</t>
    </r>
    <r>
      <rPr>
        <vertAlign val="subscript"/>
        <sz val="11"/>
        <color theme="1"/>
        <rFont val="Calibri"/>
        <family val="2"/>
        <scheme val="minor"/>
      </rPr>
      <t>4</t>
    </r>
    <r>
      <rPr>
        <sz val="11"/>
        <color theme="1"/>
        <rFont val="Calibri"/>
        <family val="2"/>
        <scheme val="minor"/>
      </rPr>
      <t xml:space="preserve"> et N</t>
    </r>
    <r>
      <rPr>
        <vertAlign val="subscript"/>
        <sz val="11"/>
        <color theme="1"/>
        <rFont val="Calibri"/>
        <family val="2"/>
        <scheme val="minor"/>
      </rPr>
      <t>2</t>
    </r>
    <r>
      <rPr>
        <sz val="11"/>
        <color theme="1"/>
        <rFont val="Calibri"/>
        <family val="2"/>
        <scheme val="minor"/>
      </rPr>
      <t>O liées à la gestion des déjections</t>
    </r>
  </si>
  <si>
    <t>Efficacité du traitement de l'air sur l'ammoniac</t>
  </si>
  <si>
    <t>FA spécifique traitement</t>
  </si>
  <si>
    <t>Acidification du lisier</t>
  </si>
  <si>
    <t>Balles flottantes dans le canal à effluents</t>
  </si>
  <si>
    <r>
      <t xml:space="preserve">Porcelets en post-sevrage
</t>
    </r>
    <r>
      <rPr>
        <sz val="8"/>
        <color theme="1"/>
        <rFont val="Calibri"/>
        <family val="2"/>
        <scheme val="minor"/>
      </rPr>
      <t>kg NH3/an</t>
    </r>
  </si>
  <si>
    <r>
      <t xml:space="preserve">Cochettes
</t>
    </r>
    <r>
      <rPr>
        <sz val="8"/>
        <color theme="1"/>
        <rFont val="Calibri"/>
        <family val="2"/>
        <scheme val="minor"/>
      </rPr>
      <t>kg NH3/an</t>
    </r>
  </si>
  <si>
    <r>
      <t xml:space="preserve">Truies en maternité
</t>
    </r>
    <r>
      <rPr>
        <sz val="8"/>
        <color theme="1"/>
        <rFont val="Calibri"/>
        <family val="2"/>
        <scheme val="minor"/>
      </rPr>
      <t>kg NH3/an</t>
    </r>
  </si>
  <si>
    <r>
      <t xml:space="preserve">Truies en attente de saillie &amp; Truies gestantes
</t>
    </r>
    <r>
      <rPr>
        <sz val="8"/>
        <color theme="1"/>
        <rFont val="Calibri"/>
        <family val="2"/>
        <scheme val="minor"/>
      </rPr>
      <t>kg NH3/an</t>
    </r>
  </si>
  <si>
    <r>
      <t xml:space="preserve">Verrats
</t>
    </r>
    <r>
      <rPr>
        <sz val="8"/>
        <color theme="1"/>
        <rFont val="Calibri"/>
        <family val="2"/>
        <scheme val="minor"/>
      </rPr>
      <t>kg NH3/an</t>
    </r>
  </si>
  <si>
    <t>POIDS</t>
  </si>
  <si>
    <t>Paille</t>
  </si>
  <si>
    <t>Poids de sortie possibles pour les PS et NEA associée (tirées du fichier de JT)</t>
  </si>
  <si>
    <t>Générique</t>
  </si>
  <si>
    <t>NEA - PS</t>
  </si>
  <si>
    <t>Matrice NEA</t>
  </si>
  <si>
    <t>NEA MTD pour les autres stades</t>
  </si>
  <si>
    <t>STADES</t>
  </si>
  <si>
    <t>7. EQUIVALENT ELEVAGE STANDARD</t>
  </si>
  <si>
    <t>7.1. Calcul de l'ammoniac -  sans ajustement</t>
  </si>
  <si>
    <t>Tout le lisier est stocké en fosse non couverte. Tout le fumier est stocké au champ</t>
  </si>
  <si>
    <t>7.2. Calcul du CH4 -  sans ajustement</t>
  </si>
  <si>
    <t>ENTERIQUE</t>
  </si>
  <si>
    <t>DEJECTIONS</t>
  </si>
  <si>
    <t>7.3. Calcul des particules -  sans ajustement</t>
  </si>
  <si>
    <t>7.4. Calcul du N2O - sans ajustement</t>
  </si>
  <si>
    <t>N épandu total kg N</t>
  </si>
  <si>
    <t>TOTAL  N-N2O</t>
  </si>
  <si>
    <t>ÉMISSIONS D’AMMONIAC PAR BÂTIMENT</t>
  </si>
  <si>
    <t>SYNTHÈSE DES ÉMISSIONS DE L’ÉLEVAGE POSTE PAR POSTE</t>
  </si>
  <si>
    <t>ÉMISSIONS POUR UN ÉLEVAGE STANDARD ÉQUIVALENT (MTD23)</t>
  </si>
  <si>
    <t>Ammoniac 
(NH3)</t>
  </si>
  <si>
    <t>Protoxyde d’azote 
(N2O)</t>
  </si>
  <si>
    <t>Méthane 
(CH4)</t>
  </si>
  <si>
    <t>Particules totales
(TSP)</t>
  </si>
  <si>
    <t>Particules fines 
(PM10)</t>
  </si>
  <si>
    <t>Poste d’émission</t>
  </si>
  <si>
    <t>ÉMISSIONS D’AMMONIAC PAR PLACE ET PAR BÂTIMENT</t>
  </si>
  <si>
    <t>Porcelets en post-sevrage, porcs de production et cochettes</t>
  </si>
  <si>
    <r>
      <t xml:space="preserve">Porcs de production
</t>
    </r>
    <r>
      <rPr>
        <sz val="8"/>
        <color theme="1"/>
        <rFont val="Calibri"/>
        <family val="2"/>
        <scheme val="minor"/>
      </rPr>
      <t>kg NH3/an/place</t>
    </r>
  </si>
  <si>
    <t>VALEURS LIMITES RÉGLEMENTAIRES EN AMMONIAC PAR PLACE ET PAR BÂTIMENT</t>
  </si>
  <si>
    <r>
      <t xml:space="preserve">Poids de sortie
</t>
    </r>
    <r>
      <rPr>
        <i/>
        <sz val="8"/>
        <color theme="1"/>
        <rFont val="Calibri"/>
        <family val="2"/>
        <scheme val="minor"/>
      </rPr>
      <t>uniquement si absence de porcs de production dans le même bâtiment</t>
    </r>
  </si>
  <si>
    <r>
      <t xml:space="preserve">Porcs de production
</t>
    </r>
    <r>
      <rPr>
        <sz val="8"/>
        <color theme="1"/>
        <rFont val="Calibri"/>
        <family val="2"/>
        <scheme val="minor"/>
      </rPr>
      <t>kg NH3/an</t>
    </r>
  </si>
  <si>
    <t>Porcs de production</t>
  </si>
  <si>
    <t>Chaque catégorie animale est associée à un ou plusieurs bâtiments, selon le caractère homogène ou non des bâtiments d’élevage pour la catégorie animale en question. Exemple : si le déclarant élève des porcs de production dans deux types de bâtiment,</t>
  </si>
  <si>
    <t>FA solide</t>
  </si>
  <si>
    <t>FA liquide</t>
  </si>
  <si>
    <t>TAN ex pour STANDARD</t>
  </si>
  <si>
    <t>Existant 30.a.0</t>
  </si>
  <si>
    <t>Nex pour STANDARD</t>
  </si>
  <si>
    <r>
      <t xml:space="preserve">Valeur limite
</t>
    </r>
    <r>
      <rPr>
        <sz val="9"/>
        <color theme="1"/>
        <rFont val="Calibri"/>
        <family val="2"/>
        <scheme val="minor"/>
      </rPr>
      <t>(kg NH</t>
    </r>
    <r>
      <rPr>
        <vertAlign val="subscript"/>
        <sz val="9"/>
        <color theme="1"/>
        <rFont val="Calibri"/>
        <family val="2"/>
        <scheme val="minor"/>
      </rPr>
      <t>3</t>
    </r>
    <r>
      <rPr>
        <sz val="9"/>
        <color theme="1"/>
        <rFont val="Calibri"/>
        <family val="2"/>
        <scheme val="minor"/>
      </rPr>
      <t>/an/place)</t>
    </r>
  </si>
  <si>
    <r>
      <rPr>
        <b/>
        <sz val="11"/>
        <rFont val="Calibri"/>
        <family val="2"/>
        <scheme val="minor"/>
      </rPr>
      <t xml:space="preserve">v3.8 </t>
    </r>
    <r>
      <rPr>
        <sz val="11"/>
        <rFont val="Calibri"/>
        <family val="2"/>
        <scheme val="minor"/>
      </rPr>
      <t xml:space="preserve">(Diffusée le 24/08/2017) : Ajout des modalités acidification et balles flottantes et d'une colonne pour renseigner l'efficacité des laveurs d'air. Ajout de plusieurs tableaux dans l'onglet synthèse : émissions équivalentes en conditions standards, valeurs des NEA à respecter par bâtiment et catégorie, émissions réelles de NH3 par bâtiment par catégorie et émissions fictives de NH3 par bâtiment par catégorie recalculées à partir des NEA. </t>
    </r>
  </si>
  <si>
    <t>Alimentation avec ajout d'acide benzoïque</t>
  </si>
  <si>
    <t>Acide benzoïque</t>
  </si>
  <si>
    <t>FA au bâtiment</t>
  </si>
  <si>
    <t>Oui</t>
  </si>
  <si>
    <t>Non</t>
  </si>
  <si>
    <t>Alimentation acide benzoïque</t>
  </si>
  <si>
    <t>FA à appliquer</t>
  </si>
  <si>
    <t>INERIS</t>
  </si>
  <si>
    <r>
      <rPr>
        <b/>
        <sz val="11"/>
        <rFont val="Calibri"/>
        <family val="2"/>
        <scheme val="minor"/>
      </rPr>
      <t xml:space="preserve">v3.9 </t>
    </r>
    <r>
      <rPr>
        <sz val="11"/>
        <rFont val="Calibri"/>
        <family val="2"/>
        <scheme val="minor"/>
      </rPr>
      <t xml:space="preserve">(Diffusée le 29/08/2018) : Ajout de la modalité "acide benzoïque" pour les porcs de production. Modification de la présentation des tableaux dans l'onglet de synthèse désormais placés les uns en dessous des autres. </t>
    </r>
  </si>
  <si>
    <t>ÉMISSIONS DE NH3 PAR CATÉGORIE, PAR BÂTIMENT ET PAR EMPLACEMENT</t>
  </si>
  <si>
    <t>Veuillez sélectionner toutes les espèces de votre établissement</t>
  </si>
  <si>
    <t>Affichage début de déclaration</t>
  </si>
  <si>
    <t>Position ligne</t>
  </si>
  <si>
    <t>CONSTRUCTION DE LA LISTE CONSOLIDEE DES BATIMENTS AVEC BATIMENT BIS EN CAS DE DOUBLE APPROCHE GLOBALE</t>
  </si>
  <si>
    <t>NOMBRE DE PLACES - UTILISEES SI APPROCHE GLOBALE</t>
  </si>
  <si>
    <t>TABLEAU INTERMEDIAIRE - CONSTRUCTION DES COMMENTAIRES</t>
  </si>
  <si>
    <t>TABLEAU INTERMEDIAIRE - CONSTRUCTION DES COMMENTAIRES SUITE</t>
  </si>
  <si>
    <t>Fin de déclaration</t>
  </si>
  <si>
    <t>Approche globale porc</t>
  </si>
  <si>
    <t>Truies en attente de saillie et truies gestantes</t>
  </si>
  <si>
    <t>Commentaire place approche globale</t>
  </si>
  <si>
    <t>VLE en question</t>
  </si>
  <si>
    <t>Approche globale truies</t>
  </si>
  <si>
    <t>Commentaire place approche globale truie</t>
  </si>
  <si>
    <t xml:space="preserve">A quoi ça sert ? </t>
  </si>
  <si>
    <t>Texte commentaire</t>
  </si>
  <si>
    <t>Batiment de base</t>
  </si>
  <si>
    <t>Bâtiment bis</t>
  </si>
  <si>
    <t>Bat bis place</t>
  </si>
  <si>
    <t>Nom du bâtiment bis</t>
  </si>
  <si>
    <t>EMISSIONS TOTALES</t>
  </si>
  <si>
    <t xml:space="preserve"> Coch: </t>
  </si>
  <si>
    <t>Différent ici car le poids peut jouer</t>
  </si>
  <si>
    <t xml:space="preserve"> PS</t>
  </si>
  <si>
    <t>Organisation des colonnes</t>
  </si>
  <si>
    <t>Nbr de colonnes</t>
  </si>
  <si>
    <t xml:space="preserve"> TAS/TG: </t>
  </si>
  <si>
    <t>Position colonne</t>
  </si>
  <si>
    <t>POSITION</t>
  </si>
  <si>
    <t xml:space="preserve"> TM: </t>
  </si>
  <si>
    <t>Colonne associée Recherchev</t>
  </si>
  <si>
    <t xml:space="preserve"> Ver: </t>
  </si>
  <si>
    <t>Construction position colonne</t>
  </si>
  <si>
    <t>Nb de colonnes en dehors des fixes</t>
  </si>
  <si>
    <t>Présence de données</t>
  </si>
  <si>
    <t>Construction position ligne</t>
  </si>
  <si>
    <t>kg/an/emplacement</t>
  </si>
  <si>
    <t>Truies en attente de saillie et gestantes</t>
  </si>
  <si>
    <t>Utilisation des VLE combinées porcelets post-sevrage/porcs de production/cochettes</t>
  </si>
  <si>
    <t>Utilisation des VLE combinées truies en maternité, en attente de saillie, gestantes, et verrats</t>
  </si>
  <si>
    <r>
      <rPr>
        <b/>
        <sz val="14"/>
        <color rgb="FFFF0000"/>
        <rFont val="Calibri"/>
        <family val="2"/>
        <scheme val="minor"/>
      </rPr>
      <t>NOUVEAU !!</t>
    </r>
    <r>
      <rPr>
        <b/>
        <sz val="14"/>
        <color theme="1"/>
        <rFont val="Calibri"/>
        <family val="2"/>
        <scheme val="minor"/>
      </rPr>
      <t xml:space="preserve"> ÉMISSIONS NORMALISEES D’AMMONIAC PAR PLACE ET PAR BÂTIMENT EN TENANT COMPTE DU TAUX D'ACTIVITE</t>
    </r>
  </si>
  <si>
    <t xml:space="preserve"> places Coch. </t>
  </si>
  <si>
    <t xml:space="preserve"> places PS. </t>
  </si>
  <si>
    <t xml:space="preserve"> places PP. </t>
  </si>
  <si>
    <t xml:space="preserve"> places TAS et TG. </t>
  </si>
  <si>
    <t xml:space="preserve"> places TM. </t>
  </si>
  <si>
    <t xml:space="preserve"> places Ver. </t>
  </si>
  <si>
    <t xml:space="preserve">[PS;PC;Coch] </t>
  </si>
  <si>
    <t xml:space="preserve">[T;Ver] </t>
  </si>
  <si>
    <t xml:space="preserve"> PP: </t>
  </si>
  <si>
    <t>Coch : Cochettes</t>
  </si>
  <si>
    <t>PS : Porcelets en post-sevrage</t>
  </si>
  <si>
    <t>PP : Porcs de production</t>
  </si>
  <si>
    <t>TAS : Truies en attente de saillie</t>
  </si>
  <si>
    <t>TG : Truies gestantes</t>
  </si>
  <si>
    <t>TM : Truies en Maternité</t>
  </si>
  <si>
    <t>Ver : Verrats</t>
  </si>
  <si>
    <t>ici</t>
  </si>
  <si>
    <t>Approche globale porcs</t>
  </si>
  <si>
    <t>Renseigner la partie Commentaire*</t>
  </si>
  <si>
    <t>*Abréviations</t>
  </si>
  <si>
    <r>
      <rPr>
        <b/>
        <sz val="11"/>
        <rFont val="Calibri"/>
        <family val="2"/>
        <scheme val="minor"/>
      </rPr>
      <t xml:space="preserve">ATTENTION ! </t>
    </r>
    <r>
      <rPr>
        <sz val="11"/>
        <rFont val="Calibri"/>
        <family val="2"/>
        <scheme val="minor"/>
      </rPr>
      <t xml:space="preserve">
Pour un affichage correct, il est important de respecter les consignes suivantes :
- Utiliser le </t>
    </r>
    <r>
      <rPr>
        <b/>
        <sz val="11"/>
        <rFont val="Calibri"/>
        <family val="2"/>
        <scheme val="minor"/>
      </rPr>
      <t>logiciel Excel</t>
    </r>
    <r>
      <rPr>
        <sz val="11"/>
        <rFont val="Calibri"/>
        <family val="2"/>
        <scheme val="minor"/>
      </rPr>
      <t xml:space="preserve"> pour renseigner ce fichier. Si vous ne disposez pas du logiciel Excel, une version de l'outil est disponible sous Open Office. 
- Attribuer des noms </t>
    </r>
    <r>
      <rPr>
        <b/>
        <sz val="11"/>
        <rFont val="Calibri"/>
        <family val="2"/>
        <scheme val="minor"/>
      </rPr>
      <t>différents</t>
    </r>
    <r>
      <rPr>
        <sz val="11"/>
        <rFont val="Calibri"/>
        <family val="2"/>
        <scheme val="minor"/>
      </rPr>
      <t xml:space="preserve"> à chaque bâtiment - Onglet Exploitation, Tableau 2.
- Sélectionner dans les listes déroulantes prévues les types de </t>
    </r>
    <r>
      <rPr>
        <b/>
        <sz val="11"/>
        <rFont val="Calibri"/>
        <family val="2"/>
        <scheme val="minor"/>
      </rPr>
      <t xml:space="preserve">valeurs limites </t>
    </r>
    <r>
      <rPr>
        <sz val="11"/>
        <rFont val="Calibri"/>
        <family val="2"/>
        <scheme val="minor"/>
      </rPr>
      <t xml:space="preserve">et/ou les </t>
    </r>
    <r>
      <rPr>
        <b/>
        <sz val="11"/>
        <rFont val="Calibri"/>
        <family val="2"/>
        <scheme val="minor"/>
      </rPr>
      <t>poids de sortie</t>
    </r>
    <r>
      <rPr>
        <sz val="11"/>
        <rFont val="Calibri"/>
        <family val="2"/>
        <scheme val="minor"/>
      </rPr>
      <t xml:space="preserve"> des porcelets en post-sevrage (si concerné) - Onglet Synthèse des émissions, à partir de la ligne 60.</t>
    </r>
  </si>
  <si>
    <t>Données complémentaires à renseigner pour l'approche globale</t>
  </si>
  <si>
    <r>
      <rPr>
        <b/>
        <sz val="11"/>
        <rFont val="Calibri"/>
        <family val="2"/>
        <scheme val="minor"/>
      </rPr>
      <t xml:space="preserve">v3.10 </t>
    </r>
    <r>
      <rPr>
        <sz val="11"/>
        <rFont val="Calibri"/>
        <family val="2"/>
        <scheme val="minor"/>
      </rPr>
      <t>(Diffusée le 08/01/2021) :  Ajout dans l'onglet "Synthèse" d'un tableau modulant l'émission selon les taux d'activité renseignés. Ajout de l'onglet "Déclaration".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</si>
</sst>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_-* #,##0\ _€_-;\-* #,##0\ _€_-;_-* &quot;-&quot;??\ _€_-;_-@_-"/>
    <numFmt numFmtId="166" formatCode="0.0"/>
    <numFmt numFmtId="167" formatCode="0.0000"/>
    <numFmt numFmtId="168" formatCode="0.000%"/>
    <numFmt numFmtId="169" formatCode="0.000"/>
    <numFmt numFmtId="170" formatCode="0.000000"/>
    <numFmt numFmtId="171" formatCode="#,##0.0000"/>
    <numFmt numFmtId="172" formatCode="#,##0_ ;\-#,##0\ "/>
    <numFmt numFmtId="173" formatCode="#,##0.0"/>
  </numFmts>
  <fonts count="64" x14ac:knownFonts="1">
    <font>
      <sz val="11"/>
      <color theme="1"/>
      <name val="Calibri"/>
      <family val="2"/>
      <scheme val="minor"/>
    </font>
    <font>
      <sz val="10"/>
      <color theme="1"/>
      <name val="Arial"/>
      <family val="2"/>
    </font>
    <font>
      <b/>
      <sz val="11"/>
      <color theme="1"/>
      <name val="Calibri"/>
      <family val="2"/>
      <scheme val="minor"/>
    </font>
    <font>
      <sz val="11"/>
      <color theme="1"/>
      <name val="Calibri"/>
      <family val="2"/>
      <scheme val="minor"/>
    </font>
    <font>
      <sz val="10"/>
      <color theme="1"/>
      <name val="Calibri"/>
      <family val="2"/>
      <scheme val="minor"/>
    </font>
    <font>
      <sz val="11"/>
      <name val="Calibri"/>
      <family val="2"/>
      <scheme val="minor"/>
    </font>
    <font>
      <sz val="7"/>
      <color theme="1"/>
      <name val="Times New Roman"/>
      <family val="1"/>
    </font>
    <font>
      <b/>
      <u/>
      <sz val="11"/>
      <color theme="1"/>
      <name val="Calibri"/>
      <family val="2"/>
      <scheme val="minor"/>
    </font>
    <font>
      <sz val="9"/>
      <color theme="1"/>
      <name val="Calibri"/>
      <family val="2"/>
      <scheme val="minor"/>
    </font>
    <font>
      <sz val="9"/>
      <color theme="0"/>
      <name val="Calibri"/>
      <family val="2"/>
      <scheme val="minor"/>
    </font>
    <font>
      <sz val="9"/>
      <color rgb="FFFF0000"/>
      <name val="Calibri"/>
      <family val="2"/>
      <scheme val="minor"/>
    </font>
    <font>
      <i/>
      <sz val="9"/>
      <color theme="1"/>
      <name val="Calibri"/>
      <family val="2"/>
      <scheme val="minor"/>
    </font>
    <font>
      <b/>
      <sz val="9"/>
      <color theme="1"/>
      <name val="Calibri"/>
      <family val="2"/>
      <scheme val="minor"/>
    </font>
    <font>
      <b/>
      <sz val="10"/>
      <color theme="1"/>
      <name val="Calibri"/>
      <family val="2"/>
      <scheme val="minor"/>
    </font>
    <font>
      <sz val="10"/>
      <name val="Calibri"/>
      <family val="2"/>
      <scheme val="minor"/>
    </font>
    <font>
      <vertAlign val="subscript"/>
      <sz val="11"/>
      <color theme="1"/>
      <name val="Calibri"/>
      <family val="2"/>
      <scheme val="minor"/>
    </font>
    <font>
      <sz val="9"/>
      <color indexed="81"/>
      <name val="Tahoma"/>
      <family val="2"/>
    </font>
    <font>
      <b/>
      <sz val="11"/>
      <name val="Calibri"/>
      <family val="2"/>
      <scheme val="minor"/>
    </font>
    <font>
      <sz val="10"/>
      <name val="Cambria"/>
      <family val="1"/>
    </font>
    <font>
      <b/>
      <sz val="12"/>
      <color rgb="FFFF0000"/>
      <name val="Calibri"/>
      <family val="2"/>
      <scheme val="minor"/>
    </font>
    <font>
      <sz val="10"/>
      <name val="Arial"/>
      <family val="2"/>
    </font>
    <font>
      <sz val="11"/>
      <color theme="0"/>
      <name val="Calibri"/>
      <family val="2"/>
      <scheme val="minor"/>
    </font>
    <font>
      <b/>
      <sz val="14"/>
      <color theme="0"/>
      <name val="Calibri"/>
      <family val="2"/>
      <scheme val="minor"/>
    </font>
    <font>
      <sz val="11"/>
      <color theme="0" tint="-0.499984740745262"/>
      <name val="Calibri"/>
      <family val="2"/>
      <scheme val="minor"/>
    </font>
    <font>
      <b/>
      <sz val="14"/>
      <color theme="1"/>
      <name val="Calibri"/>
      <family val="2"/>
      <scheme val="minor"/>
    </font>
    <font>
      <sz val="10"/>
      <name val="Arial"/>
      <family val="2"/>
    </font>
    <font>
      <b/>
      <sz val="9"/>
      <color indexed="81"/>
      <name val="Tahoma"/>
      <family val="2"/>
    </font>
    <font>
      <sz val="9"/>
      <name val="Calibri"/>
      <family val="2"/>
      <scheme val="minor"/>
    </font>
    <font>
      <b/>
      <sz val="11"/>
      <color rgb="FFFF0000"/>
      <name val="Calibri"/>
      <family val="2"/>
      <scheme val="minor"/>
    </font>
    <font>
      <b/>
      <sz val="9"/>
      <color theme="0"/>
      <name val="Calibri"/>
      <family val="2"/>
      <scheme val="minor"/>
    </font>
    <font>
      <i/>
      <sz val="10"/>
      <name val="Cambria"/>
      <family val="1"/>
    </font>
    <font>
      <b/>
      <sz val="16"/>
      <color theme="3"/>
      <name val="Calibri"/>
      <family val="2"/>
      <scheme val="minor"/>
    </font>
    <font>
      <b/>
      <i/>
      <sz val="14"/>
      <name val="Calibri"/>
      <family val="2"/>
      <scheme val="minor"/>
    </font>
    <font>
      <b/>
      <sz val="20"/>
      <name val="Calibri"/>
      <family val="2"/>
      <scheme val="minor"/>
    </font>
    <font>
      <sz val="20"/>
      <name val="Calibri"/>
      <family val="2"/>
      <scheme val="minor"/>
    </font>
    <font>
      <i/>
      <sz val="11"/>
      <name val="Calibri"/>
      <family val="2"/>
      <scheme val="minor"/>
    </font>
    <font>
      <b/>
      <sz val="14"/>
      <name val="Calibri"/>
      <family val="2"/>
      <scheme val="minor"/>
    </font>
    <font>
      <b/>
      <i/>
      <sz val="20"/>
      <name val="Calibri"/>
      <family val="2"/>
      <scheme val="minor"/>
    </font>
    <font>
      <i/>
      <sz val="10"/>
      <name val="Calibri"/>
      <family val="2"/>
      <scheme val="minor"/>
    </font>
    <font>
      <b/>
      <u/>
      <sz val="11"/>
      <name val="Calibri"/>
      <family val="2"/>
      <scheme val="minor"/>
    </font>
    <font>
      <b/>
      <vertAlign val="subscript"/>
      <sz val="10"/>
      <name val="Arial"/>
      <family val="2"/>
    </font>
    <font>
      <vertAlign val="subscript"/>
      <sz val="11"/>
      <name val="Calibri"/>
      <family val="2"/>
      <scheme val="minor"/>
    </font>
    <font>
      <i/>
      <u/>
      <sz val="9"/>
      <color theme="1"/>
      <name val="Calibri"/>
      <family val="2"/>
      <scheme val="minor"/>
    </font>
    <font>
      <sz val="10"/>
      <color rgb="FFFF0000"/>
      <name val="Cambria"/>
      <family val="1"/>
    </font>
    <font>
      <b/>
      <sz val="10"/>
      <name val="Calibri"/>
      <family val="2"/>
      <scheme val="minor"/>
    </font>
    <font>
      <b/>
      <u/>
      <sz val="10"/>
      <name val="Calibri"/>
      <family val="2"/>
      <scheme val="minor"/>
    </font>
    <font>
      <b/>
      <i/>
      <sz val="11"/>
      <color theme="4"/>
      <name val="Calibri"/>
      <family val="2"/>
      <scheme val="minor"/>
    </font>
    <font>
      <sz val="10"/>
      <color rgb="FFFF0000"/>
      <name val="Calibri"/>
      <family val="2"/>
      <scheme val="minor"/>
    </font>
    <font>
      <sz val="10"/>
      <color rgb="FFFF0000"/>
      <name val="Arial"/>
      <family val="2"/>
    </font>
    <font>
      <b/>
      <u/>
      <sz val="9"/>
      <color theme="1"/>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vertAlign val="subscript"/>
      <sz val="9"/>
      <color theme="1"/>
      <name val="Calibri"/>
      <family val="2"/>
      <scheme val="minor"/>
    </font>
    <font>
      <sz val="11"/>
      <color rgb="FFFF0000"/>
      <name val="Calibri"/>
      <family val="2"/>
      <scheme val="minor"/>
    </font>
    <font>
      <b/>
      <sz val="36"/>
      <name val="Calibri"/>
      <family val="2"/>
      <scheme val="minor"/>
    </font>
    <font>
      <b/>
      <sz val="16"/>
      <name val="Calibri"/>
      <family val="2"/>
      <scheme val="minor"/>
    </font>
    <font>
      <b/>
      <i/>
      <sz val="11"/>
      <name val="Calibri"/>
      <family val="2"/>
      <scheme val="minor"/>
    </font>
    <font>
      <b/>
      <i/>
      <sz val="9"/>
      <color theme="1"/>
      <name val="Calibri"/>
      <family val="2"/>
      <scheme val="minor"/>
    </font>
    <font>
      <b/>
      <sz val="14"/>
      <color rgb="FFFF0000"/>
      <name val="Calibri"/>
      <family val="2"/>
      <scheme val="minor"/>
    </font>
    <font>
      <sz val="16"/>
      <name val="Calibri"/>
      <family val="2"/>
      <scheme val="minor"/>
    </font>
    <font>
      <sz val="8"/>
      <name val="Calibri"/>
      <family val="2"/>
      <scheme val="minor"/>
    </font>
    <font>
      <b/>
      <sz val="16"/>
      <color theme="0"/>
      <name val="Calibri"/>
      <family val="2"/>
      <scheme val="minor"/>
    </font>
    <font>
      <b/>
      <sz val="11"/>
      <color theme="0"/>
      <name val="Calibri"/>
      <family val="2"/>
      <scheme val="minor"/>
    </font>
  </fonts>
  <fills count="32">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lightUp"/>
    </fill>
    <fill>
      <patternFill patternType="solid">
        <fgColor theme="8"/>
        <bgColor indexed="64"/>
      </patternFill>
    </fill>
    <fill>
      <patternFill patternType="solid">
        <fgColor theme="7" tint="0.79998168889431442"/>
        <bgColor indexed="64"/>
      </patternFill>
    </fill>
    <fill>
      <patternFill patternType="lightUp">
        <bgColor theme="0" tint="-0.14999847407452621"/>
      </patternFill>
    </fill>
    <fill>
      <patternFill patternType="solid">
        <fgColor theme="4"/>
        <bgColor indexed="64"/>
      </patternFill>
    </fill>
    <fill>
      <patternFill patternType="solid">
        <fgColor indexed="43"/>
        <bgColor indexed="64"/>
      </patternFill>
    </fill>
    <fill>
      <patternFill patternType="solid">
        <fgColor rgb="FF92D050"/>
        <bgColor indexed="64"/>
      </patternFill>
    </fill>
    <fill>
      <patternFill patternType="solid">
        <fgColor theme="0" tint="-0.249977111117893"/>
        <bgColor indexed="64"/>
      </patternFill>
    </fill>
    <fill>
      <patternFill patternType="lightUp">
        <bgColor rgb="FFFFFF99"/>
      </patternFill>
    </fill>
    <fill>
      <patternFill patternType="lightUp">
        <bgColor theme="0" tint="-0.14996795556505021"/>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rgb="FFE6E6E6"/>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ashed">
        <color indexed="64"/>
      </top>
      <bottom style="dashed">
        <color indexed="64"/>
      </bottom>
      <diagonal/>
    </border>
    <border>
      <left style="medium">
        <color indexed="64"/>
      </left>
      <right style="medium">
        <color indexed="64"/>
      </right>
      <top/>
      <bottom style="medium">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top style="dashed">
        <color indexed="64"/>
      </top>
      <bottom style="dashed">
        <color indexed="64"/>
      </bottom>
      <diagonal/>
    </border>
  </borders>
  <cellStyleXfs count="26">
    <xf numFmtId="0" fontId="0"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25" fillId="0" borderId="0"/>
    <xf numFmtId="0" fontId="20" fillId="0" borderId="0"/>
  </cellStyleXfs>
  <cellXfs count="592">
    <xf numFmtId="0" fontId="0" fillId="0" borderId="0" xfId="0"/>
    <xf numFmtId="0" fontId="0" fillId="0" borderId="1" xfId="0" applyBorder="1"/>
    <xf numFmtId="0" fontId="0" fillId="2" borderId="0" xfId="0" applyFill="1"/>
    <xf numFmtId="0" fontId="0" fillId="5" borderId="0" xfId="0" applyFill="1"/>
    <xf numFmtId="0" fontId="0" fillId="0" borderId="0" xfId="0" applyAlignment="1">
      <alignment wrapText="1"/>
    </xf>
    <xf numFmtId="0" fontId="0" fillId="0" borderId="1" xfId="0" applyBorder="1" applyAlignment="1">
      <alignment wrapText="1"/>
    </xf>
    <xf numFmtId="0" fontId="4" fillId="0" borderId="0" xfId="0" applyFont="1"/>
    <xf numFmtId="0" fontId="0" fillId="0" borderId="1" xfId="0" applyBorder="1" applyAlignment="1">
      <alignment horizontal="center"/>
    </xf>
    <xf numFmtId="0" fontId="0" fillId="0" borderId="0" xfId="0" applyFont="1" applyAlignment="1">
      <alignment wrapText="1"/>
    </xf>
    <xf numFmtId="0" fontId="7" fillId="0" borderId="0" xfId="0" applyFont="1"/>
    <xf numFmtId="0" fontId="0" fillId="0" borderId="0" xfId="0" applyAlignment="1">
      <alignment vertical="top" wrapText="1"/>
    </xf>
    <xf numFmtId="165" fontId="0" fillId="11" borderId="1" xfId="1" applyNumberFormat="1" applyFont="1" applyFill="1" applyBorder="1" applyAlignment="1">
      <alignment vertical="center"/>
    </xf>
    <xf numFmtId="0" fontId="0" fillId="0" borderId="0" xfId="0"/>
    <xf numFmtId="0" fontId="0" fillId="0" borderId="0" xfId="0" applyAlignment="1">
      <alignment wrapText="1"/>
    </xf>
    <xf numFmtId="0" fontId="8" fillId="0" borderId="0" xfId="0" applyFont="1" applyProtection="1">
      <protection locked="0"/>
    </xf>
    <xf numFmtId="0" fontId="8" fillId="0" borderId="0" xfId="0" applyFont="1"/>
    <xf numFmtId="0" fontId="9" fillId="14" borderId="0" xfId="0" applyFont="1" applyFill="1"/>
    <xf numFmtId="0" fontId="8" fillId="14" borderId="0" xfId="0" applyFont="1" applyFill="1"/>
    <xf numFmtId="0" fontId="8" fillId="0" borderId="0" xfId="0" applyFont="1" applyAlignment="1">
      <alignment wrapText="1"/>
    </xf>
    <xf numFmtId="0" fontId="8" fillId="0" borderId="7" xfId="0" applyFont="1" applyBorder="1"/>
    <xf numFmtId="0" fontId="11" fillId="0" borderId="8" xfId="0" applyFont="1" applyBorder="1" applyAlignment="1"/>
    <xf numFmtId="0" fontId="8" fillId="0" borderId="0"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8" fillId="5" borderId="1" xfId="0" applyFont="1" applyFill="1" applyBorder="1" applyAlignment="1" applyProtection="1">
      <alignment horizontal="left" vertical="center" wrapText="1"/>
      <protection locked="0"/>
    </xf>
    <xf numFmtId="0" fontId="8" fillId="0" borderId="0" xfId="0" applyFont="1" applyBorder="1" applyAlignment="1">
      <alignment horizontal="left"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8" fillId="2" borderId="1" xfId="2" applyFont="1" applyFill="1" applyBorder="1" applyAlignment="1" applyProtection="1">
      <alignment horizontal="center" vertical="center" wrapText="1"/>
      <protection locked="0"/>
    </xf>
    <xf numFmtId="9" fontId="11" fillId="14" borderId="1" xfId="2" applyFont="1" applyFill="1" applyBorder="1" applyAlignment="1">
      <alignment horizontal="center" vertical="center"/>
    </xf>
    <xf numFmtId="0" fontId="8" fillId="0" borderId="1" xfId="0" applyFont="1" applyBorder="1" applyAlignment="1">
      <alignment horizontal="center" vertical="center"/>
    </xf>
    <xf numFmtId="0" fontId="12" fillId="0" borderId="0" xfId="0" applyFont="1"/>
    <xf numFmtId="0" fontId="8" fillId="0" borderId="0" xfId="0" applyFont="1" applyFill="1" applyBorder="1" applyAlignment="1">
      <alignment vertical="center"/>
    </xf>
    <xf numFmtId="0" fontId="8" fillId="0" borderId="0" xfId="0" applyFont="1" applyBorder="1"/>
    <xf numFmtId="0" fontId="13" fillId="0" borderId="0" xfId="0" applyFont="1" applyBorder="1" applyAlignment="1"/>
    <xf numFmtId="0" fontId="8" fillId="0" borderId="1" xfId="0" applyFont="1" applyBorder="1" applyAlignment="1"/>
    <xf numFmtId="0" fontId="8" fillId="5" borderId="1" xfId="0" applyFont="1" applyFill="1" applyBorder="1"/>
    <xf numFmtId="0" fontId="14" fillId="3" borderId="1" xfId="0" quotePrefix="1" applyFont="1" applyFill="1" applyBorder="1"/>
    <xf numFmtId="0" fontId="14" fillId="3" borderId="1" xfId="0" quotePrefix="1" applyFont="1" applyFill="1" applyBorder="1" applyAlignment="1">
      <alignment wrapText="1"/>
    </xf>
    <xf numFmtId="0" fontId="11" fillId="0" borderId="1" xfId="0" applyFont="1" applyBorder="1" applyAlignment="1">
      <alignment horizontal="center" vertical="center" wrapText="1"/>
    </xf>
    <xf numFmtId="0" fontId="14" fillId="0" borderId="0" xfId="0" applyFont="1" applyAlignment="1">
      <alignment horizontal="left"/>
    </xf>
    <xf numFmtId="2" fontId="5" fillId="6" borderId="1" xfId="0" applyNumberFormat="1" applyFont="1" applyFill="1" applyBorder="1"/>
    <xf numFmtId="9" fontId="14" fillId="17" borderId="1" xfId="2" applyFont="1" applyFill="1" applyBorder="1" applyAlignment="1">
      <alignment horizontal="center"/>
    </xf>
    <xf numFmtId="0" fontId="0" fillId="0" borderId="1" xfId="0" applyBorder="1" applyAlignment="1">
      <alignment horizontal="center"/>
    </xf>
    <xf numFmtId="0" fontId="5" fillId="9" borderId="1" xfId="0" applyFont="1" applyFill="1" applyBorder="1"/>
    <xf numFmtId="0" fontId="5" fillId="2" borderId="1" xfId="0" applyFont="1" applyFill="1" applyBorder="1"/>
    <xf numFmtId="0" fontId="5" fillId="13" borderId="1" xfId="0" applyFont="1" applyFill="1" applyBorder="1"/>
    <xf numFmtId="0" fontId="13" fillId="0" borderId="0" xfId="0" applyFont="1" applyBorder="1" applyAlignment="1">
      <alignment vertical="center"/>
    </xf>
    <xf numFmtId="0" fontId="8" fillId="0" borderId="1" xfId="0" applyFont="1" applyBorder="1" applyAlignment="1">
      <alignment horizontal="left" vertical="center"/>
    </xf>
    <xf numFmtId="0" fontId="8" fillId="5" borderId="1" xfId="0" applyFont="1" applyFill="1" applyBorder="1" applyAlignment="1" applyProtection="1">
      <alignment horizontal="center" vertical="center"/>
      <protection locked="0"/>
    </xf>
    <xf numFmtId="2" fontId="8" fillId="2" borderId="1" xfId="0" applyNumberFormat="1" applyFont="1" applyFill="1" applyBorder="1" applyAlignment="1" applyProtection="1">
      <alignment horizontal="center" vertical="center" wrapText="1"/>
      <protection locked="0"/>
    </xf>
    <xf numFmtId="0" fontId="17" fillId="0" borderId="0" xfId="0" applyFont="1"/>
    <xf numFmtId="0" fontId="5" fillId="0" borderId="0" xfId="0" applyFont="1"/>
    <xf numFmtId="0" fontId="14" fillId="9" borderId="2" xfId="0" applyFont="1" applyFill="1" applyBorder="1" applyAlignment="1">
      <alignment horizontal="center" wrapText="1"/>
    </xf>
    <xf numFmtId="0" fontId="5" fillId="0" borderId="0" xfId="0" applyFont="1" applyAlignment="1">
      <alignment wrapText="1"/>
    </xf>
    <xf numFmtId="0" fontId="5" fillId="0" borderId="0" xfId="0" applyFont="1" applyAlignment="1">
      <alignment vertical="top" wrapText="1"/>
    </xf>
    <xf numFmtId="0" fontId="8" fillId="2" borderId="1" xfId="0" applyFont="1" applyFill="1" applyBorder="1" applyAlignment="1" applyProtection="1">
      <alignment horizontal="center" vertical="center" wrapText="1"/>
      <protection locked="0"/>
    </xf>
    <xf numFmtId="2" fontId="8" fillId="12" borderId="1" xfId="0" applyNumberFormat="1" applyFont="1" applyFill="1" applyBorder="1" applyAlignment="1">
      <alignment horizontal="center"/>
    </xf>
    <xf numFmtId="0" fontId="0" fillId="18" borderId="0" xfId="0" applyFill="1"/>
    <xf numFmtId="0" fontId="11" fillId="0" borderId="0" xfId="0" applyFont="1" applyBorder="1" applyAlignment="1">
      <alignment horizontal="right" vertical="center"/>
    </xf>
    <xf numFmtId="9" fontId="11" fillId="14" borderId="0" xfId="2" applyFont="1" applyFill="1" applyBorder="1" applyAlignment="1">
      <alignment horizontal="center" vertical="center"/>
    </xf>
    <xf numFmtId="3" fontId="8" fillId="2" borderId="1" xfId="2" applyNumberFormat="1" applyFont="1" applyFill="1" applyBorder="1" applyAlignment="1" applyProtection="1">
      <alignment horizontal="center" vertical="center" wrapText="1"/>
      <protection locked="0"/>
    </xf>
    <xf numFmtId="9" fontId="8" fillId="2" borderId="1" xfId="0" applyNumberFormat="1" applyFont="1" applyFill="1" applyBorder="1" applyAlignment="1" applyProtection="1">
      <alignment horizontal="center" vertical="center" wrapText="1"/>
      <protection locked="0"/>
    </xf>
    <xf numFmtId="9" fontId="8" fillId="2" borderId="1" xfId="2" applyNumberFormat="1" applyFont="1" applyFill="1" applyBorder="1" applyAlignment="1" applyProtection="1">
      <alignment horizontal="center" vertical="center" wrapText="1"/>
      <protection locked="0"/>
    </xf>
    <xf numFmtId="2" fontId="8" fillId="12" borderId="1" xfId="0" applyNumberFormat="1" applyFont="1" applyFill="1" applyBorder="1" applyAlignment="1">
      <alignment horizontal="center" vertical="center"/>
    </xf>
    <xf numFmtId="0" fontId="8" fillId="5" borderId="1" xfId="0" applyFont="1" applyFill="1" applyBorder="1" applyAlignment="1" applyProtection="1">
      <alignment horizontal="center" vertical="center" wrapText="1"/>
      <protection locked="0"/>
    </xf>
    <xf numFmtId="3" fontId="8" fillId="12" borderId="1" xfId="0" applyNumberFormat="1" applyFont="1" applyFill="1" applyBorder="1" applyAlignment="1">
      <alignment horizontal="center"/>
    </xf>
    <xf numFmtId="0" fontId="9" fillId="0" borderId="0" xfId="0" applyFont="1"/>
    <xf numFmtId="0" fontId="21" fillId="0" borderId="0" xfId="0" applyFont="1"/>
    <xf numFmtId="0" fontId="0" fillId="0" borderId="2" xfId="0" applyBorder="1"/>
    <xf numFmtId="0" fontId="22" fillId="19" borderId="12" xfId="0" applyFont="1" applyFill="1" applyBorder="1" applyAlignment="1">
      <alignment horizontal="left" vertical="center" wrapText="1"/>
    </xf>
    <xf numFmtId="165" fontId="0" fillId="11" borderId="10" xfId="1" applyNumberFormat="1" applyFont="1" applyFill="1" applyBorder="1" applyAlignment="1">
      <alignment vertical="center"/>
    </xf>
    <xf numFmtId="165" fontId="0" fillId="11" borderId="11" xfId="1" applyNumberFormat="1" applyFont="1" applyFill="1" applyBorder="1" applyAlignment="1">
      <alignment vertical="center"/>
    </xf>
    <xf numFmtId="165" fontId="23" fillId="0" borderId="2" xfId="1" applyNumberFormat="1" applyFont="1" applyFill="1" applyBorder="1" applyAlignment="1">
      <alignment vertical="center"/>
    </xf>
    <xf numFmtId="0" fontId="2" fillId="0" borderId="2" xfId="0" applyFont="1" applyBorder="1" applyAlignment="1">
      <alignment horizontal="center" vertical="center" wrapText="1"/>
    </xf>
    <xf numFmtId="0" fontId="24" fillId="0" borderId="0" xfId="0" applyFont="1"/>
    <xf numFmtId="0" fontId="0" fillId="0" borderId="1" xfId="0" applyFont="1" applyBorder="1" applyAlignment="1">
      <alignment vertical="center" wrapText="1"/>
    </xf>
    <xf numFmtId="169" fontId="0" fillId="11"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20" fillId="2" borderId="1" xfId="4" applyFont="1" applyFill="1" applyBorder="1"/>
    <xf numFmtId="2" fontId="4" fillId="3"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27" fillId="14" borderId="0" xfId="0" applyFont="1" applyFill="1"/>
    <xf numFmtId="0" fontId="8" fillId="5" borderId="1" xfId="0" applyFont="1" applyFill="1" applyBorder="1" applyAlignment="1" applyProtection="1">
      <alignment horizontal="center" vertical="center" wrapText="1"/>
    </xf>
    <xf numFmtId="0" fontId="8" fillId="21" borderId="1" xfId="0" applyFont="1" applyFill="1" applyBorder="1" applyAlignment="1" applyProtection="1">
      <alignment horizontal="left" vertical="center" wrapText="1"/>
      <protection locked="0"/>
    </xf>
    <xf numFmtId="0" fontId="28" fillId="0" borderId="0" xfId="0" applyFont="1"/>
    <xf numFmtId="0" fontId="13" fillId="0" borderId="0" xfId="0" applyFont="1" applyAlignment="1"/>
    <xf numFmtId="0" fontId="12" fillId="5" borderId="1" xfId="0" applyFont="1" applyFill="1" applyBorder="1" applyAlignment="1" applyProtection="1">
      <alignment horizontal="center" vertical="center" wrapText="1"/>
      <protection locked="0"/>
    </xf>
    <xf numFmtId="0" fontId="0" fillId="21" borderId="0" xfId="0" applyFill="1" applyBorder="1" applyAlignment="1" applyProtection="1">
      <alignment horizontal="left" vertical="center" wrapText="1"/>
      <protection locked="0"/>
    </xf>
    <xf numFmtId="0" fontId="4" fillId="0" borderId="0" xfId="0" applyFont="1" applyAlignment="1">
      <alignment vertical="center"/>
    </xf>
    <xf numFmtId="0" fontId="29" fillId="14" borderId="0" xfId="0" applyFont="1" applyFill="1"/>
    <xf numFmtId="0" fontId="21" fillId="0" borderId="0" xfId="0" applyFont="1" applyAlignment="1">
      <alignment wrapText="1"/>
    </xf>
    <xf numFmtId="0" fontId="5" fillId="2" borderId="1" xfId="0" applyFont="1" applyFill="1" applyBorder="1" applyAlignment="1">
      <alignment horizontal="center"/>
    </xf>
    <xf numFmtId="166" fontId="30" fillId="18" borderId="1" xfId="0" applyNumberFormat="1" applyFont="1" applyFill="1" applyBorder="1" applyAlignment="1">
      <alignment horizontal="center" vertical="center"/>
    </xf>
    <xf numFmtId="2" fontId="0" fillId="3" borderId="0" xfId="0" applyNumberFormat="1" applyFill="1" applyBorder="1" applyAlignment="1">
      <alignment horizontal="left"/>
    </xf>
    <xf numFmtId="0" fontId="0" fillId="0" borderId="1" xfId="0" applyBorder="1" applyAlignment="1">
      <alignment horizontal="left" vertical="center" wrapText="1"/>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2" fontId="8" fillId="0" borderId="1" xfId="0" applyNumberFormat="1" applyFont="1" applyFill="1" applyBorder="1" applyAlignment="1">
      <alignment horizontal="left" vertical="center"/>
    </xf>
    <xf numFmtId="2" fontId="0" fillId="0" borderId="0" xfId="0" applyNumberFormat="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left"/>
    </xf>
    <xf numFmtId="0" fontId="32" fillId="17" borderId="1" xfId="0" applyFont="1" applyFill="1" applyBorder="1" applyAlignment="1">
      <alignment horizontal="left"/>
    </xf>
    <xf numFmtId="0" fontId="32" fillId="12" borderId="1" xfId="0" applyFont="1" applyFill="1" applyBorder="1" applyAlignment="1">
      <alignment horizontal="left"/>
    </xf>
    <xf numFmtId="0" fontId="32" fillId="6" borderId="1" xfId="0" applyFont="1" applyFill="1" applyBorder="1" applyAlignment="1">
      <alignment horizontal="left"/>
    </xf>
    <xf numFmtId="0" fontId="32" fillId="2" borderId="1" xfId="0" applyFont="1" applyFill="1" applyBorder="1" applyAlignment="1">
      <alignment horizontal="left"/>
    </xf>
    <xf numFmtId="0" fontId="32" fillId="10" borderId="1" xfId="0" applyFont="1" applyFill="1" applyBorder="1" applyAlignment="1">
      <alignment horizontal="left"/>
    </xf>
    <xf numFmtId="0" fontId="33" fillId="16" borderId="0" xfId="0" applyFont="1" applyFill="1"/>
    <xf numFmtId="0" fontId="5" fillId="16" borderId="0" xfId="0" applyFont="1" applyFill="1"/>
    <xf numFmtId="0" fontId="5" fillId="0" borderId="1" xfId="0" applyFont="1" applyBorder="1" applyAlignment="1">
      <alignment wrapText="1"/>
    </xf>
    <xf numFmtId="0" fontId="5" fillId="11" borderId="1" xfId="0" applyFont="1" applyFill="1" applyBorder="1" applyAlignment="1">
      <alignment wrapText="1"/>
    </xf>
    <xf numFmtId="0" fontId="34" fillId="16" borderId="0" xfId="0" applyFont="1" applyFill="1"/>
    <xf numFmtId="0" fontId="5" fillId="0" borderId="1" xfId="0" applyFont="1" applyFill="1" applyBorder="1" applyAlignment="1">
      <alignment wrapText="1"/>
    </xf>
    <xf numFmtId="0" fontId="5" fillId="0" borderId="1" xfId="0" applyFont="1" applyFill="1" applyBorder="1" applyAlignment="1">
      <alignment horizontal="center" vertical="center" wrapText="1"/>
    </xf>
    <xf numFmtId="0" fontId="5" fillId="0" borderId="1" xfId="0" applyFont="1" applyFill="1" applyBorder="1"/>
    <xf numFmtId="3" fontId="5" fillId="17" borderId="1" xfId="0" applyNumberFormat="1" applyFont="1" applyFill="1" applyBorder="1" applyAlignment="1">
      <alignment wrapText="1"/>
    </xf>
    <xf numFmtId="9" fontId="5" fillId="17" borderId="1" xfId="0" applyNumberFormat="1" applyFont="1" applyFill="1" applyBorder="1"/>
    <xf numFmtId="1" fontId="5" fillId="12" borderId="1" xfId="0" applyNumberFormat="1" applyFont="1" applyFill="1" applyBorder="1"/>
    <xf numFmtId="3" fontId="5" fillId="10" borderId="1" xfId="0" applyNumberFormat="1" applyFont="1" applyFill="1" applyBorder="1"/>
    <xf numFmtId="3" fontId="5" fillId="6" borderId="1" xfId="0" applyNumberFormat="1" applyFont="1" applyFill="1" applyBorder="1"/>
    <xf numFmtId="0" fontId="5" fillId="6" borderId="1" xfId="0" applyFont="1" applyFill="1" applyBorder="1"/>
    <xf numFmtId="2" fontId="5" fillId="0" borderId="1" xfId="0" applyNumberFormat="1" applyFont="1" applyFill="1" applyBorder="1" applyAlignment="1">
      <alignment wrapText="1"/>
    </xf>
    <xf numFmtId="1" fontId="5" fillId="2" borderId="1" xfId="0" applyNumberFormat="1" applyFont="1" applyFill="1" applyBorder="1"/>
    <xf numFmtId="0" fontId="5" fillId="6" borderId="1" xfId="0" applyNumberFormat="1" applyFont="1" applyFill="1" applyBorder="1"/>
    <xf numFmtId="2" fontId="5" fillId="0" borderId="1" xfId="0" applyNumberFormat="1" applyFont="1" applyFill="1" applyBorder="1"/>
    <xf numFmtId="2" fontId="5" fillId="17" borderId="1" xfId="0" applyNumberFormat="1" applyFont="1" applyFill="1" applyBorder="1" applyAlignment="1">
      <alignment wrapText="1"/>
    </xf>
    <xf numFmtId="2" fontId="5" fillId="10" borderId="1" xfId="0" applyNumberFormat="1" applyFont="1" applyFill="1" applyBorder="1"/>
    <xf numFmtId="2" fontId="5" fillId="2" borderId="1" xfId="0" applyNumberFormat="1" applyFont="1" applyFill="1" applyBorder="1"/>
    <xf numFmtId="2" fontId="17" fillId="0" borderId="0" xfId="0" applyNumberFormat="1" applyFont="1" applyFill="1" applyBorder="1"/>
    <xf numFmtId="0" fontId="5" fillId="0" borderId="2" xfId="0" applyFont="1" applyFill="1" applyBorder="1" applyAlignment="1">
      <alignment horizontal="center" vertical="center" wrapText="1"/>
    </xf>
    <xf numFmtId="165" fontId="5" fillId="0" borderId="0" xfId="0" applyNumberFormat="1" applyFont="1"/>
    <xf numFmtId="0" fontId="27" fillId="0" borderId="1" xfId="0" applyFont="1" applyBorder="1" applyAlignment="1">
      <alignment horizontal="center" vertical="center"/>
    </xf>
    <xf numFmtId="0" fontId="5" fillId="17" borderId="1" xfId="0" applyFont="1" applyFill="1" applyBorder="1"/>
    <xf numFmtId="0" fontId="35" fillId="0" borderId="0" xfId="0" applyFont="1"/>
    <xf numFmtId="9" fontId="5" fillId="0" borderId="0" xfId="0" applyNumberFormat="1" applyFont="1"/>
    <xf numFmtId="164" fontId="5" fillId="0" borderId="0" xfId="0" applyNumberFormat="1"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35" fillId="11" borderId="1" xfId="0" applyFont="1" applyFill="1" applyBorder="1" applyAlignment="1">
      <alignment horizontal="center" vertical="center" wrapText="1"/>
    </xf>
    <xf numFmtId="1" fontId="5" fillId="17" borderId="1" xfId="0" applyNumberFormat="1" applyFont="1" applyFill="1" applyBorder="1"/>
    <xf numFmtId="9" fontId="5" fillId="6" borderId="1" xfId="2" applyFont="1" applyFill="1" applyBorder="1"/>
    <xf numFmtId="165" fontId="5" fillId="10" borderId="1" xfId="1" applyNumberFormat="1" applyFont="1" applyFill="1" applyBorder="1"/>
    <xf numFmtId="0" fontId="5" fillId="10" borderId="1" xfId="0" applyFont="1" applyFill="1" applyBorder="1"/>
    <xf numFmtId="2" fontId="35" fillId="11" borderId="1" xfId="0" applyNumberFormat="1" applyFont="1" applyFill="1" applyBorder="1"/>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33" fillId="16" borderId="1" xfId="0" applyFont="1" applyFill="1" applyBorder="1"/>
    <xf numFmtId="165" fontId="33" fillId="10" borderId="6" xfId="1" applyNumberFormat="1" applyFont="1" applyFill="1" applyBorder="1"/>
    <xf numFmtId="0" fontId="33" fillId="10" borderId="5" xfId="0" applyFont="1" applyFill="1" applyBorder="1"/>
    <xf numFmtId="2" fontId="33" fillId="0" borderId="0" xfId="0" applyNumberFormat="1" applyFont="1" applyFill="1" applyBorder="1"/>
    <xf numFmtId="4" fontId="5" fillId="0" borderId="0" xfId="0" applyNumberFormat="1" applyFont="1"/>
    <xf numFmtId="2" fontId="5" fillId="0" borderId="0" xfId="0" applyNumberFormat="1" applyFont="1"/>
    <xf numFmtId="3" fontId="5" fillId="0" borderId="0" xfId="0" applyNumberFormat="1" applyFont="1"/>
    <xf numFmtId="0" fontId="5" fillId="0" borderId="6" xfId="0" applyFont="1" applyBorder="1" applyAlignment="1">
      <alignment horizontal="center" vertical="center" wrapText="1"/>
    </xf>
    <xf numFmtId="1" fontId="5" fillId="17" borderId="1" xfId="0" applyNumberFormat="1" applyFont="1" applyFill="1" applyBorder="1" applyAlignment="1">
      <alignment wrapText="1"/>
    </xf>
    <xf numFmtId="0" fontId="5" fillId="17" borderId="1" xfId="0" applyFont="1" applyFill="1" applyBorder="1" applyAlignment="1">
      <alignment wrapText="1"/>
    </xf>
    <xf numFmtId="167" fontId="5" fillId="6" borderId="6" xfId="2" applyNumberFormat="1" applyFont="1" applyFill="1" applyBorder="1"/>
    <xf numFmtId="4" fontId="5" fillId="10" borderId="6" xfId="0" applyNumberFormat="1" applyFont="1" applyFill="1" applyBorder="1" applyAlignment="1">
      <alignment horizontal="center"/>
    </xf>
    <xf numFmtId="3" fontId="5" fillId="10" borderId="1" xfId="2" applyNumberFormat="1" applyFont="1" applyFill="1" applyBorder="1"/>
    <xf numFmtId="1" fontId="5" fillId="10" borderId="1" xfId="0" applyNumberFormat="1" applyFont="1" applyFill="1" applyBorder="1" applyAlignment="1">
      <alignment horizontal="center" vertical="center"/>
    </xf>
    <xf numFmtId="4" fontId="5" fillId="10" borderId="1" xfId="0" applyNumberFormat="1" applyFont="1" applyFill="1" applyBorder="1"/>
    <xf numFmtId="9" fontId="5" fillId="0" borderId="0" xfId="2" applyFont="1"/>
    <xf numFmtId="1" fontId="5" fillId="0" borderId="0" xfId="0" applyNumberFormat="1" applyFont="1"/>
    <xf numFmtId="0" fontId="5" fillId="0" borderId="1" xfId="0" applyFont="1" applyBorder="1" applyAlignment="1">
      <alignment horizontal="center" wrapText="1"/>
    </xf>
    <xf numFmtId="0" fontId="17" fillId="0" borderId="1" xfId="0" applyFont="1" applyFill="1" applyBorder="1" applyAlignment="1">
      <alignment horizontal="center" vertical="center" wrapText="1"/>
    </xf>
    <xf numFmtId="166" fontId="5" fillId="6" borderId="1"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 fontId="5" fillId="17" borderId="6" xfId="0" applyNumberFormat="1" applyFont="1" applyFill="1" applyBorder="1"/>
    <xf numFmtId="1" fontId="5" fillId="17" borderId="1" xfId="0" applyNumberFormat="1" applyFont="1" applyFill="1" applyBorder="1" applyAlignment="1">
      <alignment horizontal="center"/>
    </xf>
    <xf numFmtId="3" fontId="5" fillId="17" borderId="1" xfId="0" applyNumberFormat="1" applyFont="1" applyFill="1" applyBorder="1" applyAlignment="1">
      <alignment horizontal="center"/>
    </xf>
    <xf numFmtId="166" fontId="5" fillId="17" borderId="1" xfId="0" applyNumberFormat="1" applyFont="1" applyFill="1" applyBorder="1" applyAlignment="1">
      <alignment horizontal="center"/>
    </xf>
    <xf numFmtId="0" fontId="5" fillId="0" borderId="1" xfId="0" applyFont="1" applyBorder="1"/>
    <xf numFmtId="0" fontId="35" fillId="0" borderId="1" xfId="0" applyFont="1" applyFill="1" applyBorder="1" applyAlignment="1">
      <alignment horizontal="center" vertical="center" wrapText="1"/>
    </xf>
    <xf numFmtId="0" fontId="27" fillId="0" borderId="6" xfId="0" applyFont="1" applyBorder="1" applyAlignment="1">
      <alignment horizontal="center" vertical="center"/>
    </xf>
    <xf numFmtId="2" fontId="35" fillId="0" borderId="1" xfId="0" applyNumberFormat="1" applyFont="1" applyBorder="1"/>
    <xf numFmtId="9" fontId="5" fillId="17" borderId="1" xfId="2" applyFont="1" applyFill="1" applyBorder="1"/>
    <xf numFmtId="0" fontId="5" fillId="6" borderId="1" xfId="0" applyFont="1" applyFill="1" applyBorder="1" applyAlignment="1">
      <alignment horizontal="center" vertical="center"/>
    </xf>
    <xf numFmtId="0" fontId="33" fillId="16" borderId="1" xfId="0" applyFont="1" applyFill="1" applyBorder="1" applyAlignment="1">
      <alignment wrapText="1"/>
    </xf>
    <xf numFmtId="3" fontId="33" fillId="10" borderId="6" xfId="0" applyNumberFormat="1" applyFont="1" applyFill="1" applyBorder="1"/>
    <xf numFmtId="1" fontId="5" fillId="6" borderId="1" xfId="0" applyNumberFormat="1" applyFont="1" applyFill="1" applyBorder="1" applyAlignment="1">
      <alignment horizontal="center" vertical="center" wrapText="1"/>
    </xf>
    <xf numFmtId="9" fontId="5" fillId="6" borderId="1" xfId="2"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0" borderId="1" xfId="0" applyFont="1" applyFill="1" applyBorder="1" applyAlignment="1">
      <alignment horizontal="center"/>
    </xf>
    <xf numFmtId="0" fontId="5" fillId="17" borderId="4" xfId="0" applyFont="1" applyFill="1" applyBorder="1" applyAlignment="1">
      <alignment horizontal="center" vertical="center" wrapText="1"/>
    </xf>
    <xf numFmtId="3" fontId="5" fillId="10" borderId="1" xfId="0" applyNumberFormat="1" applyFont="1" applyFill="1" applyBorder="1" applyAlignment="1">
      <alignment horizontal="center"/>
    </xf>
    <xf numFmtId="3" fontId="5" fillId="10"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9" fontId="5" fillId="6" borderId="1" xfId="2" applyFont="1" applyFill="1" applyBorder="1" applyAlignment="1">
      <alignment horizontal="center" vertical="center"/>
    </xf>
    <xf numFmtId="0" fontId="5" fillId="6" borderId="1" xfId="2" applyNumberFormat="1" applyFont="1" applyFill="1" applyBorder="1" applyAlignment="1">
      <alignment horizontal="center" vertical="center"/>
    </xf>
    <xf numFmtId="0" fontId="5" fillId="17" borderId="1" xfId="0" applyFont="1" applyFill="1" applyBorder="1" applyAlignment="1"/>
    <xf numFmtId="3" fontId="5" fillId="10" borderId="1" xfId="0" applyNumberFormat="1" applyFont="1" applyFill="1" applyBorder="1" applyAlignment="1"/>
    <xf numFmtId="0" fontId="5" fillId="15" borderId="1" xfId="0" applyFont="1" applyFill="1" applyBorder="1" applyAlignment="1"/>
    <xf numFmtId="0" fontId="17" fillId="0" borderId="1" xfId="0" applyFont="1" applyBorder="1"/>
    <xf numFmtId="0" fontId="5" fillId="6" borderId="1" xfId="0" applyFont="1" applyFill="1" applyBorder="1" applyAlignment="1">
      <alignment horizontal="center" vertical="center" wrapText="1"/>
    </xf>
    <xf numFmtId="1" fontId="5" fillId="10" borderId="1" xfId="0" applyNumberFormat="1" applyFont="1" applyFill="1" applyBorder="1"/>
    <xf numFmtId="165" fontId="5" fillId="6" borderId="1" xfId="0" applyNumberFormat="1" applyFont="1" applyFill="1" applyBorder="1"/>
    <xf numFmtId="171" fontId="5" fillId="6" borderId="1" xfId="0" applyNumberFormat="1" applyFont="1" applyFill="1" applyBorder="1"/>
    <xf numFmtId="172" fontId="5" fillId="10" borderId="1" xfId="0" applyNumberFormat="1" applyFont="1" applyFill="1" applyBorder="1"/>
    <xf numFmtId="168" fontId="5" fillId="0" borderId="0" xfId="2" applyNumberFormat="1" applyFont="1"/>
    <xf numFmtId="0" fontId="37" fillId="0" borderId="0" xfId="0" applyFont="1" applyAlignment="1"/>
    <xf numFmtId="0" fontId="17" fillId="12" borderId="0" xfId="0" applyFont="1" applyFill="1"/>
    <xf numFmtId="0" fontId="5" fillId="12" borderId="0" xfId="0" applyFont="1" applyFill="1"/>
    <xf numFmtId="0" fontId="14" fillId="0" borderId="0" xfId="0" applyFont="1" applyFill="1" applyBorder="1" applyAlignment="1"/>
    <xf numFmtId="0" fontId="14" fillId="0" borderId="1" xfId="0" applyFont="1" applyFill="1" applyBorder="1"/>
    <xf numFmtId="0" fontId="14" fillId="7" borderId="1" xfId="0" applyFont="1" applyFill="1" applyBorder="1" applyAlignment="1">
      <alignment horizontal="center" wrapText="1"/>
    </xf>
    <xf numFmtId="2" fontId="20" fillId="10" borderId="1" xfId="4" applyNumberFormat="1" applyFont="1" applyFill="1" applyBorder="1"/>
    <xf numFmtId="0" fontId="14" fillId="13" borderId="1" xfId="0" applyFont="1" applyFill="1" applyBorder="1" applyAlignment="1">
      <alignment horizontal="center" vertical="center"/>
    </xf>
    <xf numFmtId="0" fontId="14" fillId="3" borderId="1" xfId="0" applyFont="1" applyFill="1" applyBorder="1" applyAlignment="1"/>
    <xf numFmtId="0" fontId="14" fillId="0" borderId="0" xfId="0" applyFont="1"/>
    <xf numFmtId="0" fontId="14" fillId="13" borderId="1" xfId="0" applyFont="1" applyFill="1" applyBorder="1" applyAlignment="1">
      <alignment horizontal="center" vertical="center" wrapText="1"/>
    </xf>
    <xf numFmtId="0" fontId="14" fillId="4" borderId="1" xfId="0" applyFont="1" applyFill="1" applyBorder="1"/>
    <xf numFmtId="0" fontId="14" fillId="13" borderId="1" xfId="0" applyFont="1" applyFill="1" applyBorder="1" applyAlignment="1">
      <alignment horizontal="left" vertical="center" wrapText="1"/>
    </xf>
    <xf numFmtId="0" fontId="14" fillId="15" borderId="0" xfId="0" applyFont="1" applyFill="1"/>
    <xf numFmtId="0" fontId="14" fillId="15" borderId="8" xfId="0" applyFont="1" applyFill="1" applyBorder="1"/>
    <xf numFmtId="2" fontId="38" fillId="11" borderId="1" xfId="0" applyNumberFormat="1" applyFont="1" applyFill="1" applyBorder="1"/>
    <xf numFmtId="2" fontId="14" fillId="11" borderId="1" xfId="0" applyNumberFormat="1" applyFont="1" applyFill="1" applyBorder="1"/>
    <xf numFmtId="0" fontId="5" fillId="0" borderId="0" xfId="0" applyFont="1" applyBorder="1"/>
    <xf numFmtId="9" fontId="14" fillId="2" borderId="1" xfId="0" applyNumberFormat="1" applyFont="1" applyFill="1" applyBorder="1"/>
    <xf numFmtId="0" fontId="14" fillId="2" borderId="1" xfId="0" applyFont="1" applyFill="1" applyBorder="1"/>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wrapText="1"/>
    </xf>
    <xf numFmtId="0" fontId="14" fillId="4" borderId="1" xfId="0" applyFont="1" applyFill="1" applyBorder="1" applyAlignment="1">
      <alignment horizontal="center" wrapText="1"/>
    </xf>
    <xf numFmtId="0" fontId="14" fillId="4" borderId="1" xfId="0" applyFont="1" applyFill="1" applyBorder="1" applyAlignment="1">
      <alignment horizontal="center" vertical="center"/>
    </xf>
    <xf numFmtId="0" fontId="14" fillId="3" borderId="1" xfId="0" applyFont="1" applyFill="1" applyBorder="1" applyAlignment="1">
      <alignment wrapText="1"/>
    </xf>
    <xf numFmtId="0" fontId="14" fillId="3" borderId="1" xfId="0" applyFont="1" applyFill="1" applyBorder="1" applyAlignment="1">
      <alignment vertical="center" wrapText="1"/>
    </xf>
    <xf numFmtId="0" fontId="5" fillId="21" borderId="1" xfId="0" applyFont="1" applyFill="1" applyBorder="1"/>
    <xf numFmtId="1" fontId="5" fillId="22" borderId="1" xfId="0" applyNumberFormat="1" applyFont="1" applyFill="1" applyBorder="1"/>
    <xf numFmtId="0" fontId="14" fillId="3" borderId="1" xfId="0" applyFont="1" applyFill="1" applyBorder="1" applyAlignment="1">
      <alignment horizontal="center" wrapText="1"/>
    </xf>
    <xf numFmtId="0" fontId="20" fillId="9" borderId="2" xfId="0" applyFont="1" applyFill="1" applyBorder="1" applyAlignment="1">
      <alignment horizontal="center" wrapText="1"/>
    </xf>
    <xf numFmtId="0" fontId="18" fillId="2" borderId="1" xfId="0" applyFont="1" applyFill="1" applyBorder="1" applyAlignment="1">
      <alignment horizontal="center" vertical="center"/>
    </xf>
    <xf numFmtId="0" fontId="20" fillId="9" borderId="1" xfId="0" applyFont="1" applyFill="1" applyBorder="1" applyAlignment="1">
      <alignment horizontal="center" wrapText="1"/>
    </xf>
    <xf numFmtId="0" fontId="18" fillId="0" borderId="1" xfId="0" applyFont="1" applyFill="1" applyBorder="1" applyAlignment="1">
      <alignment wrapText="1"/>
    </xf>
    <xf numFmtId="0" fontId="20" fillId="9" borderId="2"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13" borderId="1" xfId="0" applyFont="1" applyFill="1" applyBorder="1" applyAlignment="1"/>
    <xf numFmtId="0" fontId="5" fillId="13" borderId="1" xfId="3" applyFont="1" applyFill="1" applyBorder="1" applyAlignment="1">
      <alignment horizontal="center" vertical="center" wrapText="1"/>
    </xf>
    <xf numFmtId="0" fontId="18" fillId="0" borderId="1" xfId="0" applyFont="1" applyBorder="1" applyAlignment="1">
      <alignment horizontal="center"/>
    </xf>
    <xf numFmtId="0" fontId="5" fillId="0" borderId="0" xfId="0" applyFont="1" applyFill="1" applyBorder="1"/>
    <xf numFmtId="0" fontId="5" fillId="0" borderId="1" xfId="0" applyFont="1" applyBorder="1" applyAlignment="1">
      <alignment horizontal="center"/>
    </xf>
    <xf numFmtId="0" fontId="18" fillId="2" borderId="5" xfId="0" applyFont="1" applyFill="1" applyBorder="1" applyAlignment="1">
      <alignment horizontal="center" vertical="center"/>
    </xf>
    <xf numFmtId="0" fontId="5" fillId="22" borderId="1" xfId="0" applyFont="1" applyFill="1" applyBorder="1" applyAlignment="1">
      <alignment horizontal="center"/>
    </xf>
    <xf numFmtId="167" fontId="5" fillId="22" borderId="1" xfId="0" applyNumberFormat="1" applyFont="1" applyFill="1" applyBorder="1" applyAlignment="1">
      <alignment horizontal="center"/>
    </xf>
    <xf numFmtId="170" fontId="5" fillId="0" borderId="0" xfId="0" applyNumberFormat="1" applyFont="1"/>
    <xf numFmtId="0" fontId="14" fillId="9" borderId="1" xfId="0" applyFont="1" applyFill="1" applyBorder="1" applyAlignment="1">
      <alignment horizontal="center" wrapText="1"/>
    </xf>
    <xf numFmtId="0" fontId="5" fillId="0" borderId="0" xfId="0" applyFont="1" applyAlignment="1">
      <alignment horizontal="center" vertical="center"/>
    </xf>
    <xf numFmtId="9" fontId="5" fillId="22" borderId="1" xfId="2" applyFont="1" applyFill="1" applyBorder="1"/>
    <xf numFmtId="167" fontId="5" fillId="0" borderId="0" xfId="0" applyNumberFormat="1" applyFont="1"/>
    <xf numFmtId="0" fontId="35" fillId="15" borderId="1" xfId="0" applyFont="1" applyFill="1" applyBorder="1" applyAlignment="1">
      <alignment horizontal="center" vertical="center"/>
    </xf>
    <xf numFmtId="0" fontId="30" fillId="23" borderId="1" xfId="0" applyFont="1" applyFill="1" applyBorder="1" applyAlignment="1">
      <alignment horizontal="center" vertical="center"/>
    </xf>
    <xf numFmtId="9" fontId="5" fillId="2" borderId="1" xfId="2" applyFont="1" applyFill="1" applyBorder="1"/>
    <xf numFmtId="1" fontId="5" fillId="10" borderId="1" xfId="0" applyNumberFormat="1" applyFont="1" applyFill="1" applyBorder="1" applyAlignment="1">
      <alignment horizontal="center"/>
    </xf>
    <xf numFmtId="2" fontId="18" fillId="7" borderId="1" xfId="0" applyNumberFormat="1" applyFont="1" applyFill="1" applyBorder="1" applyAlignment="1">
      <alignment horizontal="center" vertical="center"/>
    </xf>
    <xf numFmtId="1" fontId="18" fillId="10" borderId="1" xfId="0" applyNumberFormat="1" applyFont="1" applyFill="1" applyBorder="1" applyAlignment="1">
      <alignment horizontal="center" vertical="center"/>
    </xf>
    <xf numFmtId="9" fontId="5" fillId="7" borderId="1" xfId="2" applyFont="1" applyFill="1" applyBorder="1"/>
    <xf numFmtId="2" fontId="18" fillId="2" borderId="1" xfId="0" applyNumberFormat="1" applyFont="1" applyFill="1" applyBorder="1" applyAlignment="1">
      <alignment horizontal="center" vertical="center"/>
    </xf>
    <xf numFmtId="2" fontId="5" fillId="10" borderId="1" xfId="0" applyNumberFormat="1" applyFont="1" applyFill="1" applyBorder="1" applyAlignment="1">
      <alignment horizontal="center"/>
    </xf>
    <xf numFmtId="9" fontId="5" fillId="10" borderId="1" xfId="2" applyFont="1" applyFill="1" applyBorder="1"/>
    <xf numFmtId="0" fontId="35" fillId="0" borderId="0" xfId="0" applyFont="1" applyFill="1" applyBorder="1"/>
    <xf numFmtId="0" fontId="14" fillId="0" borderId="0" xfId="0" applyFont="1" applyFill="1" applyBorder="1" applyAlignment="1">
      <alignment horizontal="left"/>
    </xf>
    <xf numFmtId="9" fontId="5" fillId="2" borderId="1" xfId="2" applyFont="1" applyFill="1" applyBorder="1" applyAlignment="1">
      <alignment horizontal="center" vertical="center"/>
    </xf>
    <xf numFmtId="9" fontId="5" fillId="22" borderId="1" xfId="2" applyFont="1" applyFill="1" applyBorder="1" applyAlignment="1">
      <alignment horizontal="center" vertical="center"/>
    </xf>
    <xf numFmtId="0" fontId="14" fillId="9" borderId="1" xfId="0" applyFont="1" applyFill="1" applyBorder="1" applyAlignment="1">
      <alignment horizontal="center" vertical="center" wrapText="1"/>
    </xf>
    <xf numFmtId="0" fontId="5" fillId="13" borderId="1" xfId="0" applyFont="1" applyFill="1" applyBorder="1" applyAlignment="1"/>
    <xf numFmtId="0" fontId="35" fillId="0" borderId="0" xfId="0" applyFont="1" applyAlignment="1">
      <alignment horizontal="center"/>
    </xf>
    <xf numFmtId="0" fontId="5" fillId="13" borderId="1" xfId="0" applyFont="1" applyFill="1" applyBorder="1" applyAlignment="1">
      <alignment horizontal="center" vertical="center"/>
    </xf>
    <xf numFmtId="0" fontId="5" fillId="8" borderId="1" xfId="0" applyFont="1" applyFill="1" applyBorder="1"/>
    <xf numFmtId="0" fontId="5" fillId="8" borderId="1" xfId="0" applyFont="1" applyFill="1" applyBorder="1" applyAlignment="1">
      <alignment wrapText="1"/>
    </xf>
    <xf numFmtId="0" fontId="5" fillId="13" borderId="6" xfId="0" applyFont="1" applyFill="1" applyBorder="1" applyAlignment="1">
      <alignment horizontal="center"/>
    </xf>
    <xf numFmtId="0" fontId="5" fillId="13" borderId="9" xfId="0" applyFont="1" applyFill="1" applyBorder="1" applyAlignment="1">
      <alignment horizontal="center"/>
    </xf>
    <xf numFmtId="0" fontId="5" fillId="13" borderId="5" xfId="0" applyFont="1" applyFill="1" applyBorder="1" applyAlignment="1">
      <alignment horizontal="center"/>
    </xf>
    <xf numFmtId="0" fontId="5" fillId="9" borderId="2" xfId="0" applyFont="1" applyFill="1" applyBorder="1"/>
    <xf numFmtId="9" fontId="5" fillId="2" borderId="1" xfId="0" applyNumberFormat="1" applyFont="1" applyFill="1" applyBorder="1"/>
    <xf numFmtId="9" fontId="5" fillId="7" borderId="1" xfId="0" applyNumberFormat="1" applyFont="1" applyFill="1" applyBorder="1"/>
    <xf numFmtId="4" fontId="5" fillId="2" borderId="1" xfId="2" applyNumberFormat="1" applyFont="1" applyFill="1" applyBorder="1"/>
    <xf numFmtId="0" fontId="5" fillId="4" borderId="1" xfId="0" applyFont="1" applyFill="1" applyBorder="1"/>
    <xf numFmtId="0" fontId="20" fillId="0" borderId="0" xfId="0" applyFont="1" applyFill="1" applyBorder="1" applyAlignment="1"/>
    <xf numFmtId="0" fontId="14" fillId="8" borderId="1" xfId="0" applyFont="1" applyFill="1" applyBorder="1" applyAlignment="1"/>
    <xf numFmtId="0" fontId="14" fillId="0" borderId="1" xfId="0" applyFont="1" applyBorder="1"/>
    <xf numFmtId="0" fontId="14" fillId="8" borderId="1" xfId="0" applyFont="1" applyFill="1" applyBorder="1" applyAlignment="1">
      <alignment horizontal="left" indent="2"/>
    </xf>
    <xf numFmtId="0" fontId="14" fillId="0" borderId="2" xfId="0" applyFont="1" applyBorder="1"/>
    <xf numFmtId="0" fontId="14" fillId="0" borderId="1" xfId="0" applyFont="1" applyFill="1" applyBorder="1" applyAlignment="1">
      <alignment horizontal="left" wrapText="1" indent="3"/>
    </xf>
    <xf numFmtId="0" fontId="14" fillId="0" borderId="1" xfId="0" applyFont="1" applyFill="1" applyBorder="1" applyAlignment="1">
      <alignment horizontal="left" indent="3"/>
    </xf>
    <xf numFmtId="9" fontId="5" fillId="4" borderId="1" xfId="0" applyNumberFormat="1" applyFont="1" applyFill="1" applyBorder="1"/>
    <xf numFmtId="0" fontId="14" fillId="0" borderId="0" xfId="0" applyFont="1" applyFill="1" applyBorder="1" applyAlignment="1">
      <alignment horizontal="left" indent="2"/>
    </xf>
    <xf numFmtId="9" fontId="5" fillId="0" borderId="1" xfId="0" applyNumberFormat="1" applyFont="1" applyBorder="1"/>
    <xf numFmtId="0" fontId="8" fillId="0" borderId="0" xfId="0" applyFont="1" applyAlignment="1"/>
    <xf numFmtId="0" fontId="11" fillId="0" borderId="0" xfId="0" applyFont="1" applyAlignment="1"/>
    <xf numFmtId="0" fontId="8" fillId="0" borderId="0" xfId="0" applyFont="1" applyAlignment="1">
      <alignment horizontal="right"/>
    </xf>
    <xf numFmtId="9" fontId="8" fillId="0" borderId="1" xfId="2" applyFont="1" applyFill="1" applyBorder="1" applyAlignment="1">
      <alignment horizontal="center" vertical="center"/>
    </xf>
    <xf numFmtId="0" fontId="11" fillId="0" borderId="0" xfId="0" applyFont="1"/>
    <xf numFmtId="2" fontId="43" fillId="2"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4" fillId="0" borderId="0" xfId="0" applyFont="1" applyBorder="1" applyAlignment="1">
      <alignment vertical="center"/>
    </xf>
    <xf numFmtId="0" fontId="8" fillId="24"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2" borderId="1" xfId="0" applyFont="1" applyFill="1" applyBorder="1" applyAlignment="1">
      <alignment wrapText="1"/>
    </xf>
    <xf numFmtId="4" fontId="5" fillId="10" borderId="1" xfId="0" applyNumberFormat="1" applyFont="1" applyFill="1" applyBorder="1" applyAlignment="1">
      <alignment horizontal="center"/>
    </xf>
    <xf numFmtId="0" fontId="5" fillId="13" borderId="1" xfId="0" applyFont="1" applyFill="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2" borderId="2" xfId="0" applyFont="1" applyFill="1" applyBorder="1"/>
    <xf numFmtId="0" fontId="5" fillId="2" borderId="2" xfId="0" applyFont="1" applyFill="1" applyBorder="1" applyAlignment="1">
      <alignment wrapText="1"/>
    </xf>
    <xf numFmtId="3" fontId="35" fillId="10" borderId="1" xfId="0" applyNumberFormat="1" applyFont="1" applyFill="1" applyBorder="1"/>
    <xf numFmtId="0" fontId="0" fillId="0" borderId="0" xfId="0" applyFont="1"/>
    <xf numFmtId="0" fontId="5" fillId="8" borderId="1" xfId="0" applyFont="1" applyFill="1" applyBorder="1" applyAlignment="1">
      <alignment horizontal="center" vertical="center" wrapText="1"/>
    </xf>
    <xf numFmtId="2" fontId="0" fillId="10" borderId="1" xfId="0" applyNumberFormat="1" applyFill="1" applyBorder="1"/>
    <xf numFmtId="0" fontId="0" fillId="17" borderId="1" xfId="0" applyFill="1" applyBorder="1"/>
    <xf numFmtId="0" fontId="0" fillId="17" borderId="1" xfId="0" applyFill="1" applyBorder="1" applyAlignment="1">
      <alignment wrapText="1"/>
    </xf>
    <xf numFmtId="3" fontId="0" fillId="10" borderId="1" xfId="0" applyNumberFormat="1" applyFill="1" applyBorder="1"/>
    <xf numFmtId="0" fontId="0" fillId="25" borderId="1" xfId="0" applyFill="1" applyBorder="1"/>
    <xf numFmtId="2" fontId="46" fillId="0" borderId="0" xfId="0" applyNumberFormat="1" applyFont="1" applyFill="1" applyBorder="1"/>
    <xf numFmtId="0" fontId="35" fillId="13" borderId="1" xfId="0" applyFont="1" applyFill="1" applyBorder="1"/>
    <xf numFmtId="0" fontId="35" fillId="2" borderId="1" xfId="0" applyFont="1" applyFill="1" applyBorder="1"/>
    <xf numFmtId="0" fontId="5" fillId="25" borderId="1" xfId="0" applyFont="1" applyFill="1" applyBorder="1" applyAlignment="1">
      <alignment horizontal="center"/>
    </xf>
    <xf numFmtId="0" fontId="0" fillId="10" borderId="1" xfId="0" applyFill="1" applyBorder="1" applyAlignment="1">
      <alignment horizontal="center"/>
    </xf>
    <xf numFmtId="3" fontId="0" fillId="10" borderId="1" xfId="0" applyNumberFormat="1" applyFill="1" applyBorder="1" applyAlignment="1">
      <alignment horizontal="center"/>
    </xf>
    <xf numFmtId="3" fontId="0" fillId="10" borderId="4" xfId="0" applyNumberFormat="1" applyFill="1" applyBorder="1" applyAlignment="1">
      <alignment horizontal="center"/>
    </xf>
    <xf numFmtId="4" fontId="0" fillId="10" borderId="1" xfId="0" applyNumberFormat="1" applyFill="1" applyBorder="1" applyAlignment="1">
      <alignment horizontal="center"/>
    </xf>
    <xf numFmtId="3" fontId="5" fillId="0" borderId="1" xfId="0" applyNumberFormat="1" applyFont="1" applyFill="1" applyBorder="1" applyAlignment="1">
      <alignment horizontal="center" wrapText="1"/>
    </xf>
    <xf numFmtId="0" fontId="8" fillId="24" borderId="1" xfId="0" applyFont="1" applyFill="1" applyBorder="1" applyAlignment="1" applyProtection="1">
      <alignment horizontal="center" vertical="center" wrapText="1"/>
      <protection locked="0"/>
    </xf>
    <xf numFmtId="0" fontId="47" fillId="8" borderId="1" xfId="0" applyFont="1" applyFill="1" applyBorder="1" applyAlignment="1">
      <alignment horizontal="left" indent="2"/>
    </xf>
    <xf numFmtId="2" fontId="48" fillId="20" borderId="1" xfId="0" applyNumberFormat="1" applyFont="1" applyFill="1" applyBorder="1"/>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47" fillId="13" borderId="1" xfId="0" applyFont="1" applyFill="1" applyBorder="1" applyAlignment="1">
      <alignment horizontal="center" vertical="center" wrapText="1"/>
    </xf>
    <xf numFmtId="11" fontId="5" fillId="0" borderId="0" xfId="0" applyNumberFormat="1" applyFont="1"/>
    <xf numFmtId="11" fontId="5" fillId="12" borderId="0" xfId="0" applyNumberFormat="1" applyFont="1" applyFill="1"/>
    <xf numFmtId="0" fontId="5" fillId="2" borderId="1" xfId="0" applyFont="1" applyFill="1" applyBorder="1" applyAlignment="1">
      <alignment horizontal="center" vertical="center"/>
    </xf>
    <xf numFmtId="3" fontId="14" fillId="10" borderId="1" xfId="0" applyNumberFormat="1" applyFont="1" applyFill="1" applyBorder="1" applyAlignment="1">
      <alignment horizontal="center" vertical="center"/>
    </xf>
    <xf numFmtId="173"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4" fontId="5" fillId="10" borderId="1" xfId="0" applyNumberFormat="1" applyFont="1" applyFill="1" applyBorder="1" applyAlignment="1">
      <alignment horizontal="center" vertical="center"/>
    </xf>
    <xf numFmtId="0" fontId="2" fillId="0" borderId="0" xfId="0" applyFont="1" applyProtection="1"/>
    <xf numFmtId="0" fontId="2" fillId="0" borderId="0" xfId="0" applyFont="1"/>
    <xf numFmtId="0" fontId="8" fillId="14" borderId="7" xfId="0" applyFont="1" applyFill="1" applyBorder="1" applyAlignment="1">
      <alignment vertical="center"/>
    </xf>
    <xf numFmtId="3" fontId="0" fillId="0" borderId="0" xfId="0" applyNumberFormat="1"/>
    <xf numFmtId="0" fontId="35" fillId="0" borderId="0" xfId="0" applyFont="1" applyAlignment="1">
      <alignment horizontal="right"/>
    </xf>
    <xf numFmtId="0" fontId="5" fillId="26" borderId="1" xfId="0" applyFont="1" applyFill="1" applyBorder="1" applyAlignment="1">
      <alignment horizontal="center" vertical="center"/>
    </xf>
    <xf numFmtId="0" fontId="5" fillId="4" borderId="1" xfId="0" applyFont="1" applyFill="1" applyBorder="1" applyAlignment="1">
      <alignment horizontal="right"/>
    </xf>
    <xf numFmtId="0" fontId="12" fillId="0" borderId="5"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0" fontId="8" fillId="0" borderId="1" xfId="0" applyFont="1" applyBorder="1" applyAlignment="1">
      <alignment horizontal="left" vertical="center" wrapText="1"/>
    </xf>
    <xf numFmtId="173" fontId="5" fillId="0" borderId="0" xfId="0" applyNumberFormat="1" applyFont="1"/>
    <xf numFmtId="173" fontId="0" fillId="17" borderId="1" xfId="0" applyNumberFormat="1" applyFill="1" applyBorder="1"/>
    <xf numFmtId="4" fontId="5" fillId="10" borderId="5" xfId="0" applyNumberFormat="1" applyFont="1" applyFill="1" applyBorder="1"/>
    <xf numFmtId="167" fontId="0" fillId="11" borderId="1" xfId="0" applyNumberForma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9" fontId="8" fillId="24" borderId="1" xfId="0" applyNumberFormat="1" applyFont="1" applyFill="1" applyBorder="1" applyAlignment="1" applyProtection="1">
      <alignment horizontal="center" vertical="center" wrapText="1"/>
      <protection locked="0"/>
    </xf>
    <xf numFmtId="2" fontId="5" fillId="17" borderId="1" xfId="0" applyNumberFormat="1" applyFont="1" applyFill="1" applyBorder="1"/>
    <xf numFmtId="2" fontId="18" fillId="10" borderId="1" xfId="0" applyNumberFormat="1" applyFont="1" applyFill="1" applyBorder="1" applyAlignment="1">
      <alignment horizontal="center" vertical="center"/>
    </xf>
    <xf numFmtId="0" fontId="8" fillId="2" borderId="1" xfId="0" applyFont="1" applyFill="1" applyBorder="1" applyAlignment="1" applyProtection="1">
      <alignment horizontal="left" vertical="center" wrapText="1"/>
      <protection locked="0"/>
    </xf>
    <xf numFmtId="3" fontId="0" fillId="11" borderId="1" xfId="0" applyNumberFormat="1" applyFill="1" applyBorder="1" applyAlignment="1">
      <alignment horizontal="center" vertical="center"/>
    </xf>
    <xf numFmtId="0" fontId="51" fillId="0" borderId="0" xfId="0" applyFont="1"/>
    <xf numFmtId="0" fontId="0" fillId="0" borderId="1" xfId="0" applyBorder="1" applyAlignment="1">
      <alignment horizont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xf>
    <xf numFmtId="2" fontId="5" fillId="26" borderId="1" xfId="0" applyNumberFormat="1" applyFont="1" applyFill="1" applyBorder="1" applyAlignment="1">
      <alignment horizontal="center"/>
    </xf>
    <xf numFmtId="0" fontId="5" fillId="0" borderId="1" xfId="0" applyFont="1" applyFill="1" applyBorder="1" applyAlignment="1">
      <alignment horizontal="center"/>
    </xf>
    <xf numFmtId="0" fontId="50" fillId="0" borderId="1" xfId="0" applyFont="1" applyFill="1" applyBorder="1" applyAlignment="1">
      <alignment horizontal="center" vertical="center" wrapText="1"/>
    </xf>
    <xf numFmtId="3" fontId="0" fillId="10" borderId="1" xfId="0" applyNumberFormat="1" applyFill="1" applyBorder="1" applyAlignment="1">
      <alignment horizontal="center" vertical="center"/>
    </xf>
    <xf numFmtId="0" fontId="5" fillId="0" borderId="1" xfId="0" applyFont="1" applyBorder="1" applyAlignment="1">
      <alignment horizontal="center" vertical="center" wrapText="1"/>
    </xf>
    <xf numFmtId="2" fontId="5" fillId="28" borderId="1" xfId="0" applyNumberFormat="1" applyFont="1" applyFill="1" applyBorder="1" applyAlignment="1">
      <alignment horizontal="center"/>
    </xf>
    <xf numFmtId="165" fontId="5" fillId="17" borderId="1" xfId="0" applyNumberFormat="1" applyFont="1" applyFill="1" applyBorder="1"/>
    <xf numFmtId="0" fontId="33" fillId="27" borderId="0" xfId="0" applyFont="1" applyFill="1"/>
    <xf numFmtId="0" fontId="34" fillId="27" borderId="0" xfId="0" applyFont="1" applyFill="1"/>
    <xf numFmtId="0" fontId="33" fillId="27" borderId="1" xfId="0" applyFont="1" applyFill="1" applyBorder="1"/>
    <xf numFmtId="3" fontId="5"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0" fontId="5" fillId="10" borderId="1" xfId="0" applyFont="1" applyFill="1" applyBorder="1" applyAlignment="1">
      <alignment horizontal="center" vertical="center"/>
    </xf>
    <xf numFmtId="3" fontId="5" fillId="22" borderId="1" xfId="0" applyNumberFormat="1" applyFont="1" applyFill="1" applyBorder="1" applyAlignment="1">
      <alignment horizontal="center" vertical="top"/>
    </xf>
    <xf numFmtId="3" fontId="5" fillId="22" borderId="1" xfId="0" applyNumberFormat="1" applyFont="1" applyFill="1" applyBorder="1" applyAlignment="1">
      <alignment horizontal="center"/>
    </xf>
    <xf numFmtId="3" fontId="5" fillId="22" borderId="1" xfId="0" applyNumberFormat="1" applyFont="1" applyFill="1" applyBorder="1" applyAlignment="1">
      <alignment horizontal="center" vertical="center"/>
    </xf>
    <xf numFmtId="4" fontId="5" fillId="22" borderId="1" xfId="0" applyNumberFormat="1" applyFont="1" applyFill="1" applyBorder="1" applyAlignment="1"/>
    <xf numFmtId="165" fontId="33" fillId="10" borderId="6" xfId="1" applyNumberFormat="1" applyFont="1" applyFill="1" applyBorder="1" applyAlignment="1">
      <alignment vertical="center"/>
    </xf>
    <xf numFmtId="4" fontId="5" fillId="21" borderId="1" xfId="0" applyNumberFormat="1" applyFont="1" applyFill="1" applyBorder="1" applyAlignment="1">
      <alignment horizontal="center"/>
    </xf>
    <xf numFmtId="0" fontId="8" fillId="2" borderId="1" xfId="0" applyFont="1" applyFill="1" applyBorder="1" applyAlignment="1" applyProtection="1">
      <alignment horizontal="left" vertical="center" wrapText="1"/>
      <protection locked="0"/>
    </xf>
    <xf numFmtId="2" fontId="5" fillId="27" borderId="1" xfId="0" applyNumberFormat="1" applyFont="1" applyFill="1" applyBorder="1"/>
    <xf numFmtId="0" fontId="5" fillId="27" borderId="1" xfId="0" applyFont="1" applyFill="1" applyBorder="1" applyAlignment="1">
      <alignment horizontal="center" vertical="center" wrapText="1"/>
    </xf>
    <xf numFmtId="0" fontId="5" fillId="27" borderId="1" xfId="0" applyFont="1" applyFill="1" applyBorder="1" applyAlignment="1">
      <alignment horizontal="center" vertical="center"/>
    </xf>
    <xf numFmtId="0" fontId="0" fillId="15" borderId="1" xfId="0" applyFill="1" applyBorder="1"/>
    <xf numFmtId="0" fontId="0" fillId="7" borderId="1" xfId="0" applyFill="1" applyBorder="1" applyAlignment="1">
      <alignment horizontal="center"/>
    </xf>
    <xf numFmtId="0" fontId="2" fillId="0" borderId="1" xfId="0" applyFont="1" applyBorder="1" applyAlignment="1">
      <alignment vertical="center" wrapText="1"/>
    </xf>
    <xf numFmtId="0" fontId="8" fillId="2" borderId="1" xfId="0" applyFont="1" applyFill="1" applyBorder="1" applyAlignment="1" applyProtection="1">
      <alignment horizontal="left" vertical="center" wrapText="1"/>
      <protection locked="0"/>
    </xf>
    <xf numFmtId="0" fontId="2" fillId="0" borderId="2" xfId="0" applyFont="1" applyBorder="1" applyAlignment="1">
      <alignment horizontal="center" vertical="center" wrapText="1"/>
    </xf>
    <xf numFmtId="0" fontId="50" fillId="0" borderId="6" xfId="0" applyFont="1" applyBorder="1" applyAlignment="1">
      <alignment horizontal="center" vertical="center" wrapText="1"/>
    </xf>
    <xf numFmtId="0" fontId="5" fillId="14" borderId="0" xfId="0" applyFont="1" applyFill="1" applyAlignment="1">
      <alignment wrapText="1"/>
    </xf>
    <xf numFmtId="0" fontId="5" fillId="14" borderId="0" xfId="0" applyFont="1" applyFill="1" applyAlignment="1">
      <alignment horizontal="center" vertical="center"/>
    </xf>
    <xf numFmtId="0" fontId="5" fillId="14" borderId="0" xfId="0" applyFont="1" applyFill="1" applyAlignment="1">
      <alignment horizontal="center" vertical="center" wrapText="1"/>
    </xf>
    <xf numFmtId="0" fontId="5" fillId="0" borderId="0" xfId="0" applyFont="1" applyAlignment="1">
      <alignment horizontal="center" wrapText="1"/>
    </xf>
    <xf numFmtId="0" fontId="55" fillId="0" borderId="0" xfId="0" applyFont="1" applyAlignment="1">
      <alignment vertical="center" wrapText="1"/>
    </xf>
    <xf numFmtId="0" fontId="56" fillId="14" borderId="0" xfId="0" applyFont="1" applyFill="1" applyAlignment="1">
      <alignment horizontal="center" vertical="center" wrapText="1"/>
    </xf>
    <xf numFmtId="0" fontId="5" fillId="14" borderId="0" xfId="0" applyFont="1" applyFill="1" applyAlignment="1">
      <alignment horizontal="left" wrapText="1"/>
    </xf>
    <xf numFmtId="0" fontId="17" fillId="14" borderId="0" xfId="0" applyFont="1" applyFill="1" applyAlignment="1">
      <alignment horizontal="center" vertical="center" wrapText="1"/>
    </xf>
    <xf numFmtId="0" fontId="5" fillId="14" borderId="0" xfId="0" applyFont="1" applyFill="1" applyAlignment="1">
      <alignment horizontal="center" wrapText="1"/>
    </xf>
    <xf numFmtId="0" fontId="5" fillId="22" borderId="0" xfId="0" applyFont="1" applyFill="1" applyAlignment="1">
      <alignment horizontal="center" vertical="center" wrapText="1"/>
    </xf>
    <xf numFmtId="0" fontId="5" fillId="14" borderId="0" xfId="0" applyFont="1" applyFill="1" applyAlignment="1">
      <alignment horizontal="left" vertical="center"/>
    </xf>
    <xf numFmtId="0" fontId="5" fillId="14" borderId="0" xfId="0" applyFont="1" applyFill="1" applyAlignment="1">
      <alignment vertical="center" wrapText="1"/>
    </xf>
    <xf numFmtId="0" fontId="17" fillId="14" borderId="0" xfId="0" applyFont="1" applyFill="1" applyAlignment="1">
      <alignment wrapText="1"/>
    </xf>
    <xf numFmtId="0" fontId="5" fillId="29" borderId="0" xfId="0" applyFont="1" applyFill="1" applyAlignment="1">
      <alignment horizontal="center" wrapText="1"/>
    </xf>
    <xf numFmtId="0" fontId="5" fillId="9" borderId="0" xfId="0" applyFont="1" applyFill="1" applyAlignment="1">
      <alignment wrapText="1"/>
    </xf>
    <xf numFmtId="0" fontId="5" fillId="29" borderId="19" xfId="0" applyFont="1" applyFill="1" applyBorder="1" applyAlignment="1">
      <alignment horizontal="center" wrapText="1"/>
    </xf>
    <xf numFmtId="0" fontId="5" fillId="14" borderId="19" xfId="0" applyFont="1" applyFill="1" applyBorder="1" applyAlignment="1">
      <alignment wrapText="1"/>
    </xf>
    <xf numFmtId="0" fontId="5" fillId="22" borderId="19" xfId="0" applyFont="1" applyFill="1" applyBorder="1" applyAlignment="1">
      <alignment wrapText="1"/>
    </xf>
    <xf numFmtId="0" fontId="57" fillId="14" borderId="0" xfId="0" applyFont="1" applyFill="1"/>
    <xf numFmtId="0" fontId="5" fillId="0" borderId="21" xfId="0" applyFont="1" applyBorder="1" applyAlignment="1">
      <alignment vertical="center"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17" fillId="29" borderId="21" xfId="0" applyFont="1" applyFill="1" applyBorder="1" applyAlignment="1">
      <alignment horizontal="center" wrapText="1"/>
    </xf>
    <xf numFmtId="0" fontId="5" fillId="9" borderId="19" xfId="0" applyFont="1" applyFill="1" applyBorder="1" applyAlignment="1">
      <alignment wrapText="1"/>
    </xf>
    <xf numFmtId="0" fontId="5" fillId="9" borderId="21" xfId="0" applyFont="1" applyFill="1" applyBorder="1" applyAlignment="1">
      <alignment vertical="center" wrapText="1"/>
    </xf>
    <xf numFmtId="0" fontId="5" fillId="9" borderId="22" xfId="0" applyFont="1" applyFill="1" applyBorder="1" applyAlignment="1">
      <alignment horizontal="center" wrapText="1"/>
    </xf>
    <xf numFmtId="0" fontId="5" fillId="14" borderId="1" xfId="0" applyFont="1" applyFill="1" applyBorder="1" applyAlignment="1">
      <alignment horizontal="center" vertical="center" wrapText="1"/>
    </xf>
    <xf numFmtId="0" fontId="17" fillId="14" borderId="1" xfId="0" applyFont="1" applyFill="1" applyBorder="1" applyAlignment="1">
      <alignment wrapText="1"/>
    </xf>
    <xf numFmtId="0" fontId="5" fillId="29" borderId="24" xfId="0" applyFont="1" applyFill="1" applyBorder="1" applyAlignment="1">
      <alignment horizontal="center" wrapText="1"/>
    </xf>
    <xf numFmtId="0" fontId="5" fillId="14" borderId="1" xfId="0" applyFont="1" applyFill="1" applyBorder="1" applyAlignment="1">
      <alignment wrapText="1"/>
    </xf>
    <xf numFmtId="2" fontId="5" fillId="14" borderId="1" xfId="0" applyNumberFormat="1" applyFont="1" applyFill="1" applyBorder="1" applyAlignment="1">
      <alignment wrapText="1"/>
    </xf>
    <xf numFmtId="169" fontId="5" fillId="14" borderId="1" xfId="0" applyNumberFormat="1" applyFont="1" applyFill="1" applyBorder="1" applyAlignment="1">
      <alignment wrapText="1"/>
    </xf>
    <xf numFmtId="0" fontId="5" fillId="14" borderId="1" xfId="0" applyFont="1" applyFill="1" applyBorder="1" applyAlignment="1">
      <alignment vertical="center" wrapText="1"/>
    </xf>
    <xf numFmtId="0" fontId="5" fillId="14" borderId="1" xfId="0" applyFont="1" applyFill="1" applyBorder="1" applyAlignment="1">
      <alignment horizontal="left" vertical="center" wrapText="1"/>
    </xf>
    <xf numFmtId="0" fontId="54" fillId="14" borderId="0" xfId="0" applyFont="1" applyFill="1" applyAlignment="1">
      <alignment wrapText="1"/>
    </xf>
    <xf numFmtId="0" fontId="5" fillId="0" borderId="0" xfId="0" applyFont="1" applyAlignment="1">
      <alignment horizontal="left" wrapText="1"/>
    </xf>
    <xf numFmtId="0" fontId="5" fillId="19" borderId="25" xfId="0" applyFont="1" applyFill="1" applyBorder="1" applyAlignment="1">
      <alignment wrapText="1"/>
    </xf>
    <xf numFmtId="0" fontId="5" fillId="30" borderId="1" xfId="0" applyFont="1" applyFill="1" applyBorder="1" applyAlignment="1">
      <alignment horizontal="center"/>
    </xf>
    <xf numFmtId="0" fontId="5" fillId="30" borderId="1" xfId="0" applyFont="1" applyFill="1" applyBorder="1"/>
    <xf numFmtId="0" fontId="5" fillId="30" borderId="1" xfId="0" applyFont="1" applyFill="1" applyBorder="1" applyAlignment="1">
      <alignment wrapText="1"/>
    </xf>
    <xf numFmtId="0" fontId="36" fillId="14" borderId="1" xfId="0" applyFont="1" applyFill="1" applyBorder="1" applyAlignment="1">
      <alignment wrapText="1"/>
    </xf>
    <xf numFmtId="0" fontId="5" fillId="31" borderId="25" xfId="0" applyFont="1" applyFill="1" applyBorder="1" applyAlignment="1">
      <alignment wrapText="1"/>
    </xf>
    <xf numFmtId="0" fontId="5" fillId="2" borderId="25" xfId="0" applyFont="1" applyFill="1" applyBorder="1" applyAlignment="1">
      <alignment wrapText="1"/>
    </xf>
    <xf numFmtId="0" fontId="5" fillId="31" borderId="26" xfId="0" applyFont="1" applyFill="1" applyBorder="1" applyAlignment="1">
      <alignment wrapText="1"/>
    </xf>
    <xf numFmtId="169" fontId="5" fillId="31" borderId="25" xfId="0" applyNumberFormat="1" applyFont="1" applyFill="1" applyBorder="1" applyAlignment="1">
      <alignment wrapText="1"/>
    </xf>
    <xf numFmtId="169" fontId="5" fillId="31" borderId="27" xfId="0" applyNumberFormat="1" applyFont="1" applyFill="1" applyBorder="1" applyAlignment="1">
      <alignment wrapText="1"/>
    </xf>
    <xf numFmtId="0" fontId="17" fillId="29" borderId="25"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4" xfId="0" applyFont="1" applyBorder="1" applyAlignment="1">
      <alignment vertical="center" wrapText="1"/>
    </xf>
    <xf numFmtId="0" fontId="5" fillId="29" borderId="25" xfId="0" applyFont="1" applyFill="1" applyBorder="1" applyAlignment="1">
      <alignment horizontal="center" vertical="center" wrapText="1"/>
    </xf>
    <xf numFmtId="169" fontId="17" fillId="0" borderId="5" xfId="0" applyNumberFormat="1" applyFont="1" applyBorder="1" applyAlignment="1">
      <alignment horizontal="center" vertical="center" wrapText="1"/>
    </xf>
    <xf numFmtId="169" fontId="17" fillId="0" borderId="1" xfId="0" applyNumberFormat="1" applyFont="1" applyBorder="1" applyAlignment="1">
      <alignment horizontal="center" vertical="center" wrapText="1"/>
    </xf>
    <xf numFmtId="169" fontId="5" fillId="0" borderId="1" xfId="0" applyNumberFormat="1" applyFont="1" applyBorder="1" applyAlignment="1">
      <alignment horizontal="left" vertical="center" wrapText="1"/>
    </xf>
    <xf numFmtId="0" fontId="0" fillId="0" borderId="1" xfId="0" applyBorder="1" applyAlignment="1">
      <alignment vertical="center" wrapText="1"/>
    </xf>
    <xf numFmtId="0" fontId="56" fillId="14" borderId="0" xfId="0" applyFont="1" applyFill="1" applyAlignment="1">
      <alignment horizontal="center" vertical="center"/>
    </xf>
    <xf numFmtId="0" fontId="60" fillId="0" borderId="0" xfId="0" applyFont="1" applyAlignment="1">
      <alignment wrapText="1"/>
    </xf>
    <xf numFmtId="0" fontId="60" fillId="0" borderId="0" xfId="0" applyFont="1" applyAlignment="1">
      <alignment horizontal="center" wrapText="1"/>
    </xf>
    <xf numFmtId="0" fontId="60" fillId="14" borderId="0" xfId="0" applyFont="1" applyFill="1" applyAlignment="1">
      <alignment wrapText="1"/>
    </xf>
    <xf numFmtId="0" fontId="60" fillId="14" borderId="0" xfId="0" applyFont="1" applyFill="1" applyAlignment="1">
      <alignment horizontal="left" wrapText="1"/>
    </xf>
    <xf numFmtId="0" fontId="5" fillId="14" borderId="0" xfId="0" applyFont="1" applyFill="1" applyBorder="1" applyAlignment="1">
      <alignment wrapText="1"/>
    </xf>
    <xf numFmtId="0" fontId="0" fillId="14" borderId="0" xfId="0" applyFill="1"/>
    <xf numFmtId="0" fontId="21" fillId="14" borderId="0" xfId="0" applyFont="1" applyFill="1" applyAlignment="1">
      <alignment wrapText="1"/>
    </xf>
    <xf numFmtId="0" fontId="62" fillId="14" borderId="0" xfId="0" applyFont="1" applyFill="1" applyAlignment="1">
      <alignment wrapText="1"/>
    </xf>
    <xf numFmtId="0" fontId="21" fillId="14" borderId="0" xfId="0" applyFont="1" applyFill="1" applyAlignment="1">
      <alignment horizontal="center" vertical="center" wrapText="1"/>
    </xf>
    <xf numFmtId="0" fontId="21" fillId="14" borderId="0" xfId="0" applyFont="1" applyFill="1" applyAlignment="1">
      <alignment horizontal="center" vertical="center"/>
    </xf>
    <xf numFmtId="0" fontId="21" fillId="14" borderId="0" xfId="0" applyFont="1" applyFill="1" applyAlignment="1">
      <alignment horizontal="center" wrapText="1"/>
    </xf>
    <xf numFmtId="0" fontId="21" fillId="0" borderId="0" xfId="0" applyFont="1" applyAlignment="1">
      <alignment horizontal="center" wrapText="1"/>
    </xf>
    <xf numFmtId="0" fontId="21" fillId="14" borderId="0" xfId="0" applyFont="1" applyFill="1" applyAlignment="1">
      <alignment horizontal="left" wrapText="1"/>
    </xf>
    <xf numFmtId="0" fontId="21" fillId="14" borderId="16" xfId="0" applyFont="1" applyFill="1" applyBorder="1" applyAlignment="1">
      <alignment wrapText="1"/>
    </xf>
    <xf numFmtId="0" fontId="5" fillId="14" borderId="16" xfId="0" applyFont="1" applyFill="1" applyBorder="1" applyAlignment="1">
      <alignment horizontal="center" vertical="center"/>
    </xf>
    <xf numFmtId="0" fontId="5" fillId="14" borderId="16" xfId="0" applyFont="1" applyFill="1" applyBorder="1" applyAlignment="1">
      <alignment horizontal="center" vertical="center" wrapText="1"/>
    </xf>
    <xf numFmtId="0" fontId="5" fillId="14" borderId="16" xfId="0" applyFont="1" applyFill="1" applyBorder="1" applyAlignment="1">
      <alignment horizontal="center" wrapText="1"/>
    </xf>
    <xf numFmtId="0" fontId="63" fillId="14" borderId="0" xfId="0" applyFont="1" applyFill="1" applyAlignment="1">
      <alignment horizontal="center" vertical="center"/>
    </xf>
    <xf numFmtId="0" fontId="63" fillId="14" borderId="0" xfId="0" applyFont="1" applyFill="1" applyAlignment="1">
      <alignment horizontal="center" vertical="center" wrapText="1"/>
    </xf>
    <xf numFmtId="0" fontId="5" fillId="22" borderId="0" xfId="0" applyFont="1" applyFill="1" applyAlignment="1">
      <alignment horizontal="left" vertical="center"/>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17" fillId="0" borderId="6" xfId="0" applyFont="1" applyBorder="1" applyAlignment="1">
      <alignment horizontal="center"/>
    </xf>
    <xf numFmtId="0" fontId="17" fillId="0" borderId="5" xfId="0" applyFont="1" applyBorder="1" applyAlignment="1">
      <alignment horizontal="center"/>
    </xf>
    <xf numFmtId="4" fontId="14" fillId="10" borderId="6" xfId="0" applyNumberFormat="1" applyFont="1" applyFill="1" applyBorder="1" applyAlignment="1">
      <alignment horizontal="center" vertical="center"/>
    </xf>
    <xf numFmtId="4" fontId="14" fillId="10" borderId="5" xfId="0" applyNumberFormat="1"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17" fillId="0" borderId="9" xfId="0" applyFont="1" applyBorder="1" applyAlignment="1">
      <alignment horizontal="center"/>
    </xf>
    <xf numFmtId="4" fontId="14" fillId="10" borderId="9" xfId="0" applyNumberFormat="1" applyFont="1" applyFill="1" applyBorder="1" applyAlignment="1">
      <alignment horizontal="center" vertical="center"/>
    </xf>
    <xf numFmtId="173" fontId="14" fillId="10" borderId="6" xfId="0" applyNumberFormat="1" applyFont="1" applyFill="1" applyBorder="1" applyAlignment="1">
      <alignment horizontal="center" vertical="center"/>
    </xf>
    <xf numFmtId="173" fontId="14" fillId="10" borderId="9" xfId="0" applyNumberFormat="1" applyFont="1" applyFill="1" applyBorder="1" applyAlignment="1">
      <alignment horizontal="center" vertical="center"/>
    </xf>
    <xf numFmtId="173" fontId="14" fillId="10" borderId="5" xfId="0" applyNumberFormat="1" applyFont="1" applyFill="1" applyBorder="1" applyAlignment="1">
      <alignment horizontal="center" vertical="center"/>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37" fillId="0" borderId="0" xfId="0" applyFont="1" applyAlignment="1">
      <alignment horizontal="left"/>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8" fillId="0" borderId="7" xfId="0" applyFont="1" applyBorder="1" applyAlignment="1">
      <alignment horizontal="center"/>
    </xf>
    <xf numFmtId="0" fontId="8" fillId="0" borderId="8" xfId="0" applyFont="1" applyBorder="1" applyAlignment="1">
      <alignment horizontal="center"/>
    </xf>
    <xf numFmtId="0" fontId="19" fillId="0" borderId="0" xfId="0" applyFont="1" applyAlignment="1">
      <alignment horizontal="left" vertical="center" wrapText="1"/>
    </xf>
    <xf numFmtId="0" fontId="12" fillId="0" borderId="6"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2" borderId="6"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5" borderId="6" xfId="0" applyFont="1" applyFill="1" applyBorder="1" applyAlignment="1">
      <alignment horizontal="left"/>
    </xf>
    <xf numFmtId="0" fontId="8" fillId="5" borderId="5" xfId="0" applyFont="1" applyFill="1" applyBorder="1" applyAlignment="1">
      <alignment horizontal="left"/>
    </xf>
    <xf numFmtId="0" fontId="8" fillId="21" borderId="6" xfId="0" applyFont="1" applyFill="1" applyBorder="1" applyAlignment="1" applyProtection="1">
      <alignment horizontal="left" vertical="center" wrapText="1"/>
    </xf>
    <xf numFmtId="0" fontId="8" fillId="21" borderId="5" xfId="0" applyFont="1" applyFill="1" applyBorder="1" applyAlignment="1" applyProtection="1">
      <alignment horizontal="left" vertical="center" wrapText="1"/>
    </xf>
    <xf numFmtId="2" fontId="8" fillId="12" borderId="6" xfId="0" applyNumberFormat="1" applyFont="1" applyFill="1" applyBorder="1" applyAlignment="1">
      <alignment horizontal="left"/>
    </xf>
    <xf numFmtId="2" fontId="8" fillId="12" borderId="5" xfId="0" applyNumberFormat="1" applyFont="1" applyFill="1" applyBorder="1" applyAlignment="1">
      <alignment horizontal="left"/>
    </xf>
    <xf numFmtId="2" fontId="8" fillId="18" borderId="6" xfId="0" applyNumberFormat="1" applyFont="1" applyFill="1" applyBorder="1" applyAlignment="1">
      <alignment horizontal="left"/>
    </xf>
    <xf numFmtId="2" fontId="8" fillId="18" borderId="5" xfId="0" applyNumberFormat="1" applyFont="1" applyFill="1" applyBorder="1" applyAlignment="1">
      <alignment horizontal="left"/>
    </xf>
    <xf numFmtId="2" fontId="8" fillId="0" borderId="6" xfId="0" applyNumberFormat="1" applyFont="1" applyFill="1" applyBorder="1" applyAlignment="1">
      <alignment horizontal="left"/>
    </xf>
    <xf numFmtId="2" fontId="8" fillId="0" borderId="5" xfId="0" applyNumberFormat="1" applyFont="1" applyFill="1" applyBorder="1" applyAlignment="1">
      <alignment horizontal="left"/>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xf>
    <xf numFmtId="0" fontId="5" fillId="0" borderId="9"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0" fillId="0" borderId="6"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xf>
    <xf numFmtId="0" fontId="0" fillId="0" borderId="5" xfId="0" applyBorder="1" applyAlignment="1">
      <alignment horizontal="center"/>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3" fillId="16" borderId="6" xfId="0" applyFont="1" applyFill="1" applyBorder="1" applyAlignment="1">
      <alignment horizontal="left"/>
    </xf>
    <xf numFmtId="0" fontId="33" fillId="16" borderId="9" xfId="0" applyFont="1" applyFill="1" applyBorder="1" applyAlignment="1">
      <alignment horizontal="left"/>
    </xf>
    <xf numFmtId="0" fontId="33" fillId="16" borderId="5" xfId="0" applyFont="1" applyFill="1" applyBorder="1" applyAlignment="1">
      <alignment horizontal="left"/>
    </xf>
    <xf numFmtId="4" fontId="5" fillId="0" borderId="2"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32" fillId="0" borderId="0" xfId="0" applyFont="1" applyAlignment="1">
      <alignment horizontal="left"/>
    </xf>
    <xf numFmtId="4" fontId="5" fillId="0" borderId="6" xfId="0" applyNumberFormat="1" applyFont="1" applyBorder="1" applyAlignment="1">
      <alignment horizontal="center" vertical="center" wrapText="1"/>
    </xf>
    <xf numFmtId="4" fontId="5" fillId="0" borderId="9"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0" fillId="0" borderId="6" xfId="0" applyFont="1" applyBorder="1" applyAlignment="1">
      <alignment horizontal="center" wrapText="1"/>
    </xf>
    <xf numFmtId="0" fontId="0" fillId="0" borderId="5" xfId="0" applyFont="1" applyBorder="1" applyAlignment="1">
      <alignment horizont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3" xfId="0"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65" fontId="23" fillId="0" borderId="2" xfId="1" applyNumberFormat="1" applyFont="1" applyFill="1" applyBorder="1" applyAlignment="1">
      <alignment horizontal="center" vertical="center"/>
    </xf>
    <xf numFmtId="165" fontId="23" fillId="0" borderId="13" xfId="1" applyNumberFormat="1" applyFont="1" applyFill="1" applyBorder="1" applyAlignment="1">
      <alignment horizontal="center" vertical="center"/>
    </xf>
    <xf numFmtId="0" fontId="50" fillId="0" borderId="6"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4" xfId="0" applyFont="1" applyBorder="1" applyAlignment="1">
      <alignment horizontal="center"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11"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5" fillId="14" borderId="0" xfId="0" applyFont="1" applyFill="1" applyAlignment="1">
      <alignment horizontal="left" vertical="center" wrapText="1"/>
    </xf>
    <xf numFmtId="0" fontId="5" fillId="0" borderId="1" xfId="0" applyFont="1" applyBorder="1" applyAlignment="1">
      <alignment horizontal="center"/>
    </xf>
    <xf numFmtId="0" fontId="56" fillId="0" borderId="17" xfId="0" applyFont="1" applyBorder="1" applyAlignment="1">
      <alignment horizontal="center" vertical="center" textRotation="90" wrapText="1"/>
    </xf>
    <xf numFmtId="0" fontId="56" fillId="0" borderId="18" xfId="0" applyFont="1" applyBorder="1" applyAlignment="1">
      <alignment horizontal="center" vertical="center" textRotation="90" wrapText="1"/>
    </xf>
    <xf numFmtId="0" fontId="56" fillId="0" borderId="20" xfId="0" applyFont="1" applyBorder="1" applyAlignment="1">
      <alignment horizontal="center" vertical="center" textRotation="90" wrapText="1"/>
    </xf>
    <xf numFmtId="0" fontId="56" fillId="14" borderId="0" xfId="0" applyFont="1" applyFill="1" applyAlignment="1">
      <alignment horizontal="left" vertical="center" wrapText="1"/>
    </xf>
    <xf numFmtId="0" fontId="36" fillId="14" borderId="0" xfId="0" applyFont="1" applyFill="1" applyAlignment="1">
      <alignment horizontal="left" vertical="center" wrapText="1"/>
    </xf>
    <xf numFmtId="0" fontId="0" fillId="30" borderId="0" xfId="0" applyFill="1" applyAlignment="1">
      <alignment horizontal="center"/>
    </xf>
  </cellXfs>
  <cellStyles count="26">
    <cellStyle name="Milliers" xfId="1" builtinId="3"/>
    <cellStyle name="Milliers 2" xfId="12" xr:uid="{00000000-0005-0000-0000-000001000000}"/>
    <cellStyle name="Milliers 3" xfId="22" xr:uid="{00000000-0005-0000-0000-000002000000}"/>
    <cellStyle name="Normal" xfId="0" builtinId="0"/>
    <cellStyle name="Normal 10" xfId="21" xr:uid="{00000000-0005-0000-0000-000004000000}"/>
    <cellStyle name="Normal 11" xfId="4" xr:uid="{00000000-0005-0000-0000-000005000000}"/>
    <cellStyle name="Normal 12" xfId="24" xr:uid="{00000000-0005-0000-0000-000006000000}"/>
    <cellStyle name="Normal 12 2" xfId="25" xr:uid="{314DE216-B84A-4C68-8B6C-C7940C8C7DEE}"/>
    <cellStyle name="Normal 142" xfId="3" xr:uid="{00000000-0005-0000-0000-000007000000}"/>
    <cellStyle name="Normal 2" xfId="13" xr:uid="{00000000-0005-0000-0000-000008000000}"/>
    <cellStyle name="Normal 3" xfId="5" xr:uid="{00000000-0005-0000-0000-000009000000}"/>
    <cellStyle name="Normal 3 2" xfId="14" xr:uid="{00000000-0005-0000-0000-00000A000000}"/>
    <cellStyle name="Normal 4" xfId="6" xr:uid="{00000000-0005-0000-0000-00000B000000}"/>
    <cellStyle name="Normal 4 2" xfId="15" xr:uid="{00000000-0005-0000-0000-00000C000000}"/>
    <cellStyle name="Normal 5" xfId="11" xr:uid="{00000000-0005-0000-0000-00000D000000}"/>
    <cellStyle name="Normal 6" xfId="7" xr:uid="{00000000-0005-0000-0000-00000E000000}"/>
    <cellStyle name="Normal 6 2" xfId="16" xr:uid="{00000000-0005-0000-0000-00000F000000}"/>
    <cellStyle name="Normal 7" xfId="8" xr:uid="{00000000-0005-0000-0000-000010000000}"/>
    <cellStyle name="Normal 7 2" xfId="17" xr:uid="{00000000-0005-0000-0000-000011000000}"/>
    <cellStyle name="Normal 8" xfId="9" xr:uid="{00000000-0005-0000-0000-000012000000}"/>
    <cellStyle name="Normal 8 2" xfId="18" xr:uid="{00000000-0005-0000-0000-000013000000}"/>
    <cellStyle name="Normal 9" xfId="10" xr:uid="{00000000-0005-0000-0000-000014000000}"/>
    <cellStyle name="Normal 9 2" xfId="19" xr:uid="{00000000-0005-0000-0000-000015000000}"/>
    <cellStyle name="Pourcentage" xfId="2" builtinId="5"/>
    <cellStyle name="Pourcentage 2" xfId="20" xr:uid="{00000000-0005-0000-0000-000017000000}"/>
    <cellStyle name="Pourcentage 3" xfId="23" xr:uid="{00000000-0005-0000-0000-000018000000}"/>
  </cellStyles>
  <dxfs count="47">
    <dxf>
      <border>
        <right style="thin">
          <color rgb="FFFF0066"/>
        </right>
        <top style="thin">
          <color rgb="FFFF0066"/>
        </top>
        <bottom style="thin">
          <color rgb="FFFF0066"/>
        </bottom>
        <vertical/>
        <horizontal/>
      </border>
    </dxf>
    <dxf>
      <numFmt numFmtId="3" formatCode="#,##0"/>
      <border>
        <left style="thin">
          <color rgb="FFFF0066"/>
        </left>
        <top style="thin">
          <color rgb="FFFF0066"/>
        </top>
        <bottom style="thin">
          <color rgb="FFFF0066"/>
        </bottom>
        <vertical/>
        <horizontal/>
      </border>
    </dxf>
    <dxf>
      <numFmt numFmtId="174" formatCode="#,##0.000"/>
    </dxf>
    <dxf>
      <font>
        <u/>
        <color rgb="FFFF0066"/>
      </font>
      <border>
        <left style="thin">
          <color theme="0" tint="-0.24994659260841701"/>
        </left>
        <right style="thin">
          <color theme="0" tint="-0.24994659260841701"/>
        </right>
        <vertical/>
        <horizontal/>
      </border>
    </dxf>
    <dxf>
      <font>
        <b/>
        <i val="0"/>
        <color auto="1"/>
      </font>
    </dxf>
    <dxf>
      <border>
        <right style="thin">
          <color rgb="FFFF0066"/>
        </right>
        <top style="thin">
          <color rgb="FFFF0066"/>
        </top>
        <bottom style="thin">
          <color rgb="FFFF0066"/>
        </bottom>
        <vertical/>
        <horizontal/>
      </border>
    </dxf>
    <dxf>
      <numFmt numFmtId="3" formatCode="#,##0"/>
      <border>
        <left style="thin">
          <color rgb="FFFF0066"/>
        </left>
        <top style="thin">
          <color rgb="FFFF0066"/>
        </top>
        <bottom style="thin">
          <color rgb="FFFF0066"/>
        </bottom>
        <vertical/>
        <horizontal/>
      </border>
    </dxf>
    <dxf>
      <numFmt numFmtId="174" formatCode="#,##0.000"/>
    </dxf>
    <dxf>
      <fill>
        <patternFill>
          <bgColor rgb="FFE6E6E6"/>
        </patternFill>
      </fill>
    </dxf>
    <dxf>
      <font>
        <b/>
        <i val="0"/>
        <color theme="0"/>
      </font>
      <fill>
        <patternFill>
          <bgColor rgb="FFFF0066"/>
        </patternFill>
      </fill>
    </dxf>
    <dxf>
      <font>
        <b val="0"/>
        <i/>
      </font>
    </dxf>
    <dxf>
      <border>
        <bottom style="thin">
          <color theme="0" tint="-0.24994659260841701"/>
        </bottom>
        <vertical/>
        <horizontal/>
      </border>
    </dxf>
    <dxf>
      <font>
        <b/>
        <i val="0"/>
        <color rgb="FFFF0066"/>
      </font>
    </dxf>
    <dxf>
      <font>
        <b/>
        <i val="0"/>
        <color rgb="FFFF0066"/>
      </font>
    </dxf>
    <dxf>
      <fill>
        <patternFill>
          <bgColor theme="0" tint="-0.24994659260841701"/>
        </patternFill>
      </fill>
    </dxf>
    <dxf>
      <font>
        <b/>
        <i val="0"/>
        <color theme="0"/>
      </font>
      <fill>
        <patternFill>
          <fgColor rgb="FFFF0066"/>
          <bgColor rgb="FFFF0066"/>
        </patternFill>
      </fill>
    </dxf>
    <dxf>
      <border>
        <left style="thin">
          <color rgb="FFFF0066"/>
        </left>
        <right style="thin">
          <color rgb="FFFF0066"/>
        </right>
        <top style="thin">
          <color rgb="FFFF0066"/>
        </top>
        <bottom style="thin">
          <color rgb="FFFF0066"/>
        </bottom>
        <vertical/>
        <horizontal/>
      </border>
    </dxf>
    <dxf>
      <fill>
        <patternFill patternType="lightUp"/>
      </fill>
    </dxf>
    <dxf>
      <font>
        <b/>
        <i val="0"/>
      </font>
    </dxf>
    <dxf>
      <font>
        <b/>
        <i val="0"/>
      </font>
    </dxf>
    <dxf>
      <fill>
        <patternFill patternType="lightUp"/>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solid">
          <bgColor rgb="FFFFFF99"/>
        </patternFill>
      </fill>
    </dxf>
    <dxf>
      <fill>
        <patternFill patternType="lightUp">
          <bgColor theme="0" tint="-0.14996795556505021"/>
        </patternFill>
      </fill>
    </dxf>
    <dxf>
      <fill>
        <patternFill patternType="lightUp">
          <bgColor theme="0" tint="-0.14996795556505021"/>
        </patternFill>
      </fill>
    </dxf>
    <dxf>
      <fill>
        <patternFill patternType="solid">
          <fgColor theme="0"/>
          <bgColor rgb="FF92D050"/>
        </patternFill>
      </fill>
    </dxf>
    <dxf>
      <fill>
        <patternFill patternType="solid">
          <fgColor theme="0"/>
          <bgColor rgb="FF92D050"/>
        </patternFill>
      </fill>
    </dxf>
    <dxf>
      <fill>
        <patternFill patternType="solid">
          <fgColor theme="0"/>
          <bgColor rgb="FF92D050"/>
        </patternFill>
      </fill>
    </dxf>
    <dxf>
      <fill>
        <patternFill patternType="solid">
          <fgColor theme="1"/>
          <bgColor rgb="FF92D050"/>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s>
  <tableStyles count="0" defaultTableStyle="TableStyleMedium9" defaultPivotStyle="PivotStyleLight16"/>
  <colors>
    <mruColors>
      <color rgb="FFFF0066"/>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889783</xdr:colOff>
      <xdr:row>0</xdr:row>
      <xdr:rowOff>857250</xdr:rowOff>
    </xdr:to>
    <xdr:pic>
      <xdr:nvPicPr>
        <xdr:cNvPr id="8" name="Image 5779" descr="CITEPA_bd">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851683" cy="857250"/>
        </a:xfrm>
        <a:prstGeom prst="rect">
          <a:avLst/>
        </a:prstGeom>
        <a:noFill/>
        <a:ln w="9525">
          <a:noFill/>
          <a:miter lim="800000"/>
          <a:headEnd/>
          <a:tailEnd/>
        </a:ln>
      </xdr:spPr>
    </xdr:pic>
    <xdr:clientData/>
  </xdr:twoCellAnchor>
  <xdr:twoCellAnchor>
    <xdr:from>
      <xdr:col>0</xdr:col>
      <xdr:colOff>38100</xdr:colOff>
      <xdr:row>0</xdr:row>
      <xdr:rowOff>0</xdr:rowOff>
    </xdr:from>
    <xdr:to>
      <xdr:col>0</xdr:col>
      <xdr:colOff>889783</xdr:colOff>
      <xdr:row>0</xdr:row>
      <xdr:rowOff>857250</xdr:rowOff>
    </xdr:to>
    <xdr:pic>
      <xdr:nvPicPr>
        <xdr:cNvPr id="3" name="Image 5779" descr="CITEPA_bd">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851683"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192061</xdr:colOff>
      <xdr:row>3</xdr:row>
      <xdr:rowOff>49705</xdr:rowOff>
    </xdr:from>
    <xdr:to>
      <xdr:col>1</xdr:col>
      <xdr:colOff>1545317</xdr:colOff>
      <xdr:row>5</xdr:row>
      <xdr:rowOff>83956</xdr:rowOff>
    </xdr:to>
    <xdr:pic>
      <xdr:nvPicPr>
        <xdr:cNvPr id="2" name="Image 1">
          <a:extLst>
            <a:ext uri="{FF2B5EF4-FFF2-40B4-BE49-F238E27FC236}">
              <a16:creationId xmlns:a16="http://schemas.microsoft.com/office/drawing/2014/main" id="{06E40541-4BBD-4FAC-BBC2-F244FA650430}"/>
            </a:ext>
          </a:extLst>
        </xdr:cNvPr>
        <xdr:cNvPicPr>
          <a:picLocks noChangeAspect="1"/>
        </xdr:cNvPicPr>
      </xdr:nvPicPr>
      <xdr:blipFill rotWithShape="1">
        <a:blip xmlns:r="http://schemas.openxmlformats.org/officeDocument/2006/relationships" r:embed="rId1"/>
        <a:srcRect t="26623" b="23460"/>
        <a:stretch/>
      </xdr:blipFill>
      <xdr:spPr>
        <a:xfrm>
          <a:off x="449236" y="237030"/>
          <a:ext cx="1315156" cy="545427"/>
        </a:xfrm>
        <a:prstGeom prst="rect">
          <a:avLst/>
        </a:prstGeom>
      </xdr:spPr>
    </xdr:pic>
    <xdr:clientData/>
  </xdr:twoCellAnchor>
  <xdr:twoCellAnchor editAs="oneCell">
    <xdr:from>
      <xdr:col>9</xdr:col>
      <xdr:colOff>3007527</xdr:colOff>
      <xdr:row>16</xdr:row>
      <xdr:rowOff>0</xdr:rowOff>
    </xdr:from>
    <xdr:to>
      <xdr:col>9</xdr:col>
      <xdr:colOff>3479313</xdr:colOff>
      <xdr:row>17</xdr:row>
      <xdr:rowOff>296183</xdr:rowOff>
    </xdr:to>
    <xdr:pic>
      <xdr:nvPicPr>
        <xdr:cNvPr id="3" name="Graphique 2" descr="Bulle de discussion contour">
          <a:extLst>
            <a:ext uri="{FF2B5EF4-FFF2-40B4-BE49-F238E27FC236}">
              <a16:creationId xmlns:a16="http://schemas.microsoft.com/office/drawing/2014/main" id="{4398A024-8C6E-417A-8E5A-ADFA914C73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flipH="1">
          <a:off x="11443956" y="2748643"/>
          <a:ext cx="474961" cy="476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A46"/>
  <sheetViews>
    <sheetView showGridLines="0" tabSelected="1" zoomScaleNormal="100" workbookViewId="0"/>
  </sheetViews>
  <sheetFormatPr baseColWidth="10" defaultRowHeight="14.5" x14ac:dyDescent="0.35"/>
  <cols>
    <col min="1" max="1" width="136.81640625" customWidth="1"/>
    <col min="2" max="2" width="120.54296875" customWidth="1"/>
  </cols>
  <sheetData>
    <row r="1" spans="1:1" ht="78.75" customHeight="1" x14ac:dyDescent="0.35">
      <c r="A1" s="99" t="s">
        <v>543</v>
      </c>
    </row>
    <row r="2" spans="1:1" x14ac:dyDescent="0.35">
      <c r="A2" s="9" t="s">
        <v>42</v>
      </c>
    </row>
    <row r="3" spans="1:1" ht="58" x14ac:dyDescent="0.35">
      <c r="A3" s="53" t="s">
        <v>325</v>
      </c>
    </row>
    <row r="4" spans="1:1" x14ac:dyDescent="0.35">
      <c r="A4" s="8"/>
    </row>
    <row r="5" spans="1:1" ht="29" x14ac:dyDescent="0.35">
      <c r="A5" s="13" t="s">
        <v>120</v>
      </c>
    </row>
    <row r="7" spans="1:1" x14ac:dyDescent="0.35">
      <c r="A7" s="9" t="s">
        <v>86</v>
      </c>
    </row>
    <row r="8" spans="1:1" ht="29" x14ac:dyDescent="0.35">
      <c r="A8" s="4" t="s">
        <v>121</v>
      </c>
    </row>
    <row r="9" spans="1:1" x14ac:dyDescent="0.35">
      <c r="A9" s="51"/>
    </row>
    <row r="10" spans="1:1" x14ac:dyDescent="0.35">
      <c r="A10" s="53" t="s">
        <v>326</v>
      </c>
    </row>
    <row r="11" spans="1:1" ht="10.5" customHeight="1" x14ac:dyDescent="0.35">
      <c r="A11" s="51"/>
    </row>
    <row r="12" spans="1:1" ht="29" x14ac:dyDescent="0.35">
      <c r="A12" s="54" t="s">
        <v>769</v>
      </c>
    </row>
    <row r="13" spans="1:1" x14ac:dyDescent="0.35">
      <c r="A13" s="10" t="s">
        <v>116</v>
      </c>
    </row>
    <row r="14" spans="1:1" x14ac:dyDescent="0.35">
      <c r="A14" s="10" t="s">
        <v>117</v>
      </c>
    </row>
    <row r="15" spans="1:1" ht="29" x14ac:dyDescent="0.35">
      <c r="A15" s="13" t="s">
        <v>327</v>
      </c>
    </row>
    <row r="16" spans="1:1" ht="32.25" customHeight="1" x14ac:dyDescent="0.35">
      <c r="A16" s="4" t="s">
        <v>43</v>
      </c>
    </row>
    <row r="17" spans="1:1" x14ac:dyDescent="0.35">
      <c r="A17" s="2" t="s">
        <v>44</v>
      </c>
    </row>
    <row r="18" spans="1:1" x14ac:dyDescent="0.35">
      <c r="A18" s="3" t="s">
        <v>87</v>
      </c>
    </row>
    <row r="19" spans="1:1" s="12" customFormat="1" x14ac:dyDescent="0.35">
      <c r="A19" s="87" t="s">
        <v>418</v>
      </c>
    </row>
    <row r="20" spans="1:1" x14ac:dyDescent="0.35">
      <c r="A20" s="93" t="s">
        <v>538</v>
      </c>
    </row>
    <row r="21" spans="1:1" s="12" customFormat="1" x14ac:dyDescent="0.35">
      <c r="A21" s="98" t="s">
        <v>537</v>
      </c>
    </row>
    <row r="22" spans="1:1" s="12" customFormat="1" x14ac:dyDescent="0.35">
      <c r="A22" s="57" t="s">
        <v>329</v>
      </c>
    </row>
    <row r="23" spans="1:1" x14ac:dyDescent="0.35">
      <c r="A23" s="4"/>
    </row>
    <row r="24" spans="1:1" x14ac:dyDescent="0.35">
      <c r="A24" s="9" t="s">
        <v>118</v>
      </c>
    </row>
    <row r="25" spans="1:1" ht="29" x14ac:dyDescent="0.35">
      <c r="A25" s="4" t="s">
        <v>119</v>
      </c>
    </row>
    <row r="26" spans="1:1" ht="7.5" customHeight="1" x14ac:dyDescent="0.35">
      <c r="A26" s="4"/>
    </row>
    <row r="27" spans="1:1" ht="29" x14ac:dyDescent="0.35">
      <c r="A27" s="13" t="s">
        <v>542</v>
      </c>
    </row>
    <row r="28" spans="1:1" x14ac:dyDescent="0.35">
      <c r="A28" s="9"/>
    </row>
    <row r="29" spans="1:1" ht="15.75" customHeight="1" x14ac:dyDescent="0.35">
      <c r="A29" s="9" t="s">
        <v>88</v>
      </c>
    </row>
    <row r="30" spans="1:1" x14ac:dyDescent="0.35">
      <c r="A30" t="s">
        <v>89</v>
      </c>
    </row>
    <row r="32" spans="1:1" x14ac:dyDescent="0.35">
      <c r="A32" s="9" t="s">
        <v>90</v>
      </c>
    </row>
    <row r="33" spans="1:1" ht="29" x14ac:dyDescent="0.35">
      <c r="A33" s="13" t="s">
        <v>272</v>
      </c>
    </row>
    <row r="35" spans="1:1" x14ac:dyDescent="0.35">
      <c r="A35" s="9" t="s">
        <v>374</v>
      </c>
    </row>
    <row r="36" spans="1:1" x14ac:dyDescent="0.35">
      <c r="A36" s="1" t="s">
        <v>375</v>
      </c>
    </row>
    <row r="37" spans="1:1" ht="43.5" x14ac:dyDescent="0.35">
      <c r="A37" s="5" t="s">
        <v>376</v>
      </c>
    </row>
    <row r="38" spans="1:1" ht="60.65" customHeight="1" x14ac:dyDescent="0.35">
      <c r="A38" s="5" t="s">
        <v>377</v>
      </c>
    </row>
    <row r="39" spans="1:1" x14ac:dyDescent="0.35">
      <c r="A39" s="1" t="s">
        <v>378</v>
      </c>
    </row>
    <row r="40" spans="1:1" ht="45.5" x14ac:dyDescent="0.35">
      <c r="A40" s="94" t="s">
        <v>544</v>
      </c>
    </row>
    <row r="41" spans="1:1" ht="76.5" x14ac:dyDescent="0.35">
      <c r="A41" s="94" t="s">
        <v>660</v>
      </c>
    </row>
    <row r="42" spans="1:1" ht="29" x14ac:dyDescent="0.35">
      <c r="A42" s="94" t="s">
        <v>723</v>
      </c>
    </row>
    <row r="43" spans="1:1" ht="16.5" x14ac:dyDescent="0.35">
      <c r="A43" s="94" t="s">
        <v>725</v>
      </c>
    </row>
    <row r="44" spans="1:1" ht="43.5" x14ac:dyDescent="0.35">
      <c r="A44" s="304" t="s">
        <v>776</v>
      </c>
    </row>
    <row r="45" spans="1:1" ht="29" x14ac:dyDescent="0.35">
      <c r="A45" s="304" t="s">
        <v>785</v>
      </c>
    </row>
    <row r="46" spans="1:1" ht="29" x14ac:dyDescent="0.35">
      <c r="A46" s="304" t="s">
        <v>850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39"/>
  <sheetViews>
    <sheetView topLeftCell="A480" zoomScale="60" zoomScaleNormal="60" workbookViewId="0">
      <selection activeCell="G508" sqref="G508"/>
    </sheetView>
  </sheetViews>
  <sheetFormatPr baseColWidth="10" defaultColWidth="11.54296875" defaultRowHeight="14.5" x14ac:dyDescent="0.35"/>
  <cols>
    <col min="1" max="1" width="11.54296875" style="51"/>
    <col min="2" max="2" width="53.26953125" style="51" customWidth="1"/>
    <col min="3" max="3" width="39.7265625" style="51" customWidth="1"/>
    <col min="4" max="4" width="47.81640625" style="51" customWidth="1"/>
    <col min="5" max="5" width="38.7265625" style="51" customWidth="1"/>
    <col min="6" max="6" width="28.7265625" style="51" customWidth="1"/>
    <col min="7" max="7" width="27.26953125" style="51" customWidth="1"/>
    <col min="8" max="8" width="25.81640625" style="51" customWidth="1"/>
    <col min="9" max="9" width="40.26953125" style="51" customWidth="1"/>
    <col min="10" max="10" width="32.54296875" style="51" customWidth="1"/>
    <col min="11" max="11" width="21.26953125" style="51" customWidth="1"/>
    <col min="12" max="12" width="23.26953125" style="51" customWidth="1"/>
    <col min="13" max="13" width="22.26953125" style="51" customWidth="1"/>
    <col min="14" max="14" width="17.54296875" style="51" customWidth="1"/>
    <col min="15" max="16" width="11.54296875" style="51"/>
    <col min="17" max="17" width="45.453125" style="51" customWidth="1"/>
    <col min="18" max="19" width="15.26953125" style="51" customWidth="1"/>
    <col min="20" max="20" width="18.26953125" style="51" customWidth="1"/>
    <col min="21" max="23" width="15.26953125" style="51" customWidth="1"/>
    <col min="24" max="16384" width="11.54296875" style="51"/>
  </cols>
  <sheetData>
    <row r="1" spans="1:4" ht="26" x14ac:dyDescent="0.6">
      <c r="A1" s="200" t="s">
        <v>179</v>
      </c>
      <c r="B1" s="200"/>
      <c r="C1" s="200"/>
    </row>
    <row r="3" spans="1:4" s="202" customFormat="1" x14ac:dyDescent="0.35">
      <c r="A3" s="201" t="s">
        <v>40</v>
      </c>
    </row>
    <row r="4" spans="1:4" x14ac:dyDescent="0.35">
      <c r="B4" s="203"/>
    </row>
    <row r="5" spans="1:4" x14ac:dyDescent="0.35">
      <c r="B5" s="204" t="s">
        <v>11</v>
      </c>
      <c r="C5" s="205" t="s">
        <v>388</v>
      </c>
    </row>
    <row r="6" spans="1:4" x14ac:dyDescent="0.35">
      <c r="B6" s="36" t="s">
        <v>91</v>
      </c>
      <c r="C6" s="204"/>
    </row>
    <row r="7" spans="1:4" x14ac:dyDescent="0.35">
      <c r="B7" s="36" t="s">
        <v>92</v>
      </c>
      <c r="C7" s="206">
        <v>11.342045454545454</v>
      </c>
      <c r="D7" s="162"/>
    </row>
    <row r="8" spans="1:4" x14ac:dyDescent="0.35">
      <c r="B8" s="36" t="s">
        <v>93</v>
      </c>
      <c r="C8" s="206">
        <v>13.943602693602692</v>
      </c>
      <c r="D8" s="162"/>
    </row>
    <row r="9" spans="1:4" x14ac:dyDescent="0.35">
      <c r="B9" s="36" t="s">
        <v>94</v>
      </c>
      <c r="C9" s="206">
        <v>10.809263085399449</v>
      </c>
      <c r="D9" s="162"/>
    </row>
    <row r="10" spans="1:4" x14ac:dyDescent="0.35">
      <c r="B10" s="36" t="s">
        <v>95</v>
      </c>
      <c r="C10" s="206">
        <v>11.247601010101011</v>
      </c>
      <c r="D10" s="162"/>
    </row>
    <row r="11" spans="1:4" x14ac:dyDescent="0.35">
      <c r="B11" s="36" t="s">
        <v>96</v>
      </c>
      <c r="C11" s="206">
        <v>11.750223829201103</v>
      </c>
      <c r="D11" s="162"/>
    </row>
    <row r="12" spans="1:4" x14ac:dyDescent="0.35">
      <c r="B12" s="36" t="s">
        <v>97</v>
      </c>
      <c r="C12" s="206">
        <v>12.118928571428574</v>
      </c>
      <c r="D12" s="162"/>
    </row>
    <row r="13" spans="1:4" x14ac:dyDescent="0.35">
      <c r="B13" s="36" t="s">
        <v>98</v>
      </c>
      <c r="C13" s="206">
        <v>11.811147186147185</v>
      </c>
      <c r="D13" s="162"/>
    </row>
    <row r="14" spans="1:4" x14ac:dyDescent="0.35">
      <c r="B14" s="36" t="s">
        <v>99</v>
      </c>
      <c r="C14" s="206">
        <v>10.795688705234159</v>
      </c>
      <c r="D14" s="162"/>
    </row>
    <row r="15" spans="1:4" x14ac:dyDescent="0.35">
      <c r="B15" s="36" t="s">
        <v>100</v>
      </c>
      <c r="C15" s="206">
        <v>16.248106060606062</v>
      </c>
      <c r="D15" s="162"/>
    </row>
    <row r="16" spans="1:4" x14ac:dyDescent="0.35">
      <c r="B16" s="36" t="s">
        <v>101</v>
      </c>
      <c r="C16" s="206">
        <v>11.138636363636364</v>
      </c>
      <c r="D16" s="162"/>
    </row>
    <row r="17" spans="2:4" x14ac:dyDescent="0.35">
      <c r="B17" s="36" t="s">
        <v>28</v>
      </c>
      <c r="C17" s="78">
        <v>25</v>
      </c>
      <c r="D17" s="162"/>
    </row>
    <row r="18" spans="2:4" x14ac:dyDescent="0.35">
      <c r="B18" s="36" t="s">
        <v>29</v>
      </c>
      <c r="C18" s="78">
        <v>25</v>
      </c>
      <c r="D18" s="162"/>
    </row>
    <row r="19" spans="2:4" x14ac:dyDescent="0.35">
      <c r="B19" s="36" t="s">
        <v>102</v>
      </c>
      <c r="C19" s="206">
        <v>11.297474747474746</v>
      </c>
      <c r="D19" s="162"/>
    </row>
    <row r="20" spans="2:4" x14ac:dyDescent="0.35">
      <c r="B20" s="36" t="s">
        <v>103</v>
      </c>
      <c r="C20" s="206">
        <v>12.060719696969697</v>
      </c>
      <c r="D20" s="162"/>
    </row>
    <row r="21" spans="2:4" x14ac:dyDescent="0.35">
      <c r="B21" s="36" t="s">
        <v>30</v>
      </c>
      <c r="C21" s="78">
        <v>25</v>
      </c>
      <c r="D21" s="162"/>
    </row>
    <row r="22" spans="2:4" x14ac:dyDescent="0.35">
      <c r="B22" s="36" t="s">
        <v>104</v>
      </c>
      <c r="C22" s="206">
        <v>12.698002754820937</v>
      </c>
      <c r="D22" s="162"/>
    </row>
    <row r="23" spans="2:4" x14ac:dyDescent="0.35">
      <c r="B23" s="36" t="s">
        <v>105</v>
      </c>
      <c r="C23" s="206">
        <v>11.929545454545455</v>
      </c>
      <c r="D23" s="162"/>
    </row>
    <row r="24" spans="2:4" x14ac:dyDescent="0.35">
      <c r="B24" s="36" t="s">
        <v>106</v>
      </c>
      <c r="C24" s="206">
        <v>10.802651515151515</v>
      </c>
      <c r="D24" s="162"/>
    </row>
    <row r="25" spans="2:4" x14ac:dyDescent="0.35">
      <c r="B25" s="36" t="s">
        <v>31</v>
      </c>
      <c r="C25" s="78">
        <v>25</v>
      </c>
      <c r="D25" s="162"/>
    </row>
    <row r="26" spans="2:4" x14ac:dyDescent="0.35">
      <c r="B26" s="36" t="s">
        <v>32</v>
      </c>
      <c r="C26" s="78">
        <v>25</v>
      </c>
      <c r="D26" s="162"/>
    </row>
    <row r="27" spans="2:4" x14ac:dyDescent="0.35">
      <c r="B27" s="36" t="s">
        <v>107</v>
      </c>
      <c r="C27" s="206">
        <v>13.070904356060607</v>
      </c>
      <c r="D27" s="162"/>
    </row>
    <row r="28" spans="2:4" x14ac:dyDescent="0.35">
      <c r="B28" s="36" t="s">
        <v>108</v>
      </c>
      <c r="C28" s="206">
        <v>11.36205808080808</v>
      </c>
      <c r="D28" s="162"/>
    </row>
    <row r="29" spans="2:4" x14ac:dyDescent="0.35">
      <c r="B29" s="36" t="s">
        <v>109</v>
      </c>
      <c r="C29" s="206">
        <v>12.610335169880624</v>
      </c>
      <c r="D29" s="162"/>
    </row>
    <row r="30" spans="2:4" x14ac:dyDescent="0.35">
      <c r="B30" s="36" t="s">
        <v>110</v>
      </c>
      <c r="C30" s="206">
        <v>10.883712121212122</v>
      </c>
      <c r="D30" s="162"/>
    </row>
    <row r="31" spans="2:4" x14ac:dyDescent="0.35">
      <c r="B31" s="36" t="s">
        <v>111</v>
      </c>
      <c r="C31" s="206">
        <v>12.997537878787881</v>
      </c>
      <c r="D31" s="162"/>
    </row>
    <row r="32" spans="2:4" x14ac:dyDescent="0.35">
      <c r="B32" s="37" t="s">
        <v>112</v>
      </c>
      <c r="C32" s="206">
        <v>14.962959136822775</v>
      </c>
      <c r="D32" s="162"/>
    </row>
    <row r="33" spans="1:5" x14ac:dyDescent="0.35">
      <c r="B33" s="36" t="s">
        <v>113</v>
      </c>
      <c r="C33" s="206">
        <v>12.471065771349862</v>
      </c>
      <c r="D33" s="162"/>
    </row>
    <row r="35" spans="1:5" s="202" customFormat="1" x14ac:dyDescent="0.35">
      <c r="A35" s="201" t="s">
        <v>284</v>
      </c>
    </row>
    <row r="37" spans="1:5" x14ac:dyDescent="0.35">
      <c r="B37" s="207" t="s">
        <v>71</v>
      </c>
    </row>
    <row r="38" spans="1:5" x14ac:dyDescent="0.35">
      <c r="B38" s="208" t="s">
        <v>12</v>
      </c>
    </row>
    <row r="39" spans="1:5" x14ac:dyDescent="0.35">
      <c r="B39" s="208" t="s">
        <v>283</v>
      </c>
    </row>
    <row r="40" spans="1:5" x14ac:dyDescent="0.35">
      <c r="B40" s="208" t="s">
        <v>140</v>
      </c>
    </row>
    <row r="42" spans="1:5" s="202" customFormat="1" x14ac:dyDescent="0.35">
      <c r="A42" s="201" t="s">
        <v>147</v>
      </c>
    </row>
    <row r="44" spans="1:5" x14ac:dyDescent="0.35">
      <c r="B44" s="207" t="s">
        <v>65</v>
      </c>
    </row>
    <row r="45" spans="1:5" x14ac:dyDescent="0.35">
      <c r="B45" s="208" t="s">
        <v>12</v>
      </c>
      <c r="E45" s="162"/>
    </row>
    <row r="46" spans="1:5" x14ac:dyDescent="0.35">
      <c r="B46" s="208" t="s">
        <v>66</v>
      </c>
    </row>
    <row r="47" spans="1:5" x14ac:dyDescent="0.35">
      <c r="B47" s="208" t="s">
        <v>67</v>
      </c>
    </row>
    <row r="49" spans="1:22" s="202" customFormat="1" x14ac:dyDescent="0.35">
      <c r="A49" s="201" t="s">
        <v>135</v>
      </c>
    </row>
    <row r="50" spans="1:22" x14ac:dyDescent="0.35">
      <c r="B50" s="203"/>
      <c r="K50" s="209"/>
      <c r="L50" s="209"/>
      <c r="M50" s="209"/>
      <c r="N50" s="209"/>
    </row>
    <row r="51" spans="1:22" x14ac:dyDescent="0.35">
      <c r="A51" s="51" t="s">
        <v>383</v>
      </c>
      <c r="B51" s="203"/>
      <c r="J51" s="209" t="s">
        <v>138</v>
      </c>
      <c r="K51" s="209"/>
      <c r="L51" s="209"/>
      <c r="M51" s="209"/>
      <c r="N51" s="209"/>
      <c r="Q51" s="51" t="s">
        <v>387</v>
      </c>
      <c r="R51" s="476" t="s">
        <v>665</v>
      </c>
      <c r="S51" s="483"/>
      <c r="T51" s="477"/>
      <c r="U51" s="476" t="s">
        <v>666</v>
      </c>
      <c r="V51" s="477"/>
    </row>
    <row r="52" spans="1:22" ht="37.5" customHeight="1" x14ac:dyDescent="0.35">
      <c r="B52" s="203"/>
      <c r="C52" s="209"/>
      <c r="D52" s="209"/>
      <c r="E52" s="495" t="s">
        <v>69</v>
      </c>
      <c r="F52" s="496"/>
      <c r="G52" s="495" t="s">
        <v>70</v>
      </c>
      <c r="H52" s="496"/>
      <c r="J52" s="209"/>
      <c r="K52" s="491" t="s">
        <v>385</v>
      </c>
      <c r="L52" s="492"/>
      <c r="M52" s="493" t="s">
        <v>386</v>
      </c>
      <c r="N52" s="494"/>
      <c r="Q52" s="217"/>
      <c r="R52" s="330" t="s">
        <v>663</v>
      </c>
      <c r="S52" s="210" t="s">
        <v>157</v>
      </c>
      <c r="T52" s="210" t="s">
        <v>158</v>
      </c>
      <c r="U52" s="210" t="s">
        <v>70</v>
      </c>
      <c r="V52" s="330" t="s">
        <v>664</v>
      </c>
    </row>
    <row r="53" spans="1:22" ht="38.25" customHeight="1" x14ac:dyDescent="0.35">
      <c r="B53" s="209"/>
      <c r="C53" s="210" t="s">
        <v>66</v>
      </c>
      <c r="D53" s="210" t="s">
        <v>67</v>
      </c>
      <c r="E53" s="210" t="s">
        <v>66</v>
      </c>
      <c r="F53" s="210" t="s">
        <v>67</v>
      </c>
      <c r="G53" s="210" t="s">
        <v>66</v>
      </c>
      <c r="H53" s="210" t="s">
        <v>141</v>
      </c>
      <c r="J53" s="209"/>
      <c r="K53" s="210" t="s">
        <v>66</v>
      </c>
      <c r="L53" s="210" t="s">
        <v>136</v>
      </c>
      <c r="M53" s="210" t="s">
        <v>139</v>
      </c>
      <c r="N53" s="210" t="s">
        <v>140</v>
      </c>
      <c r="Q53" s="210" t="s">
        <v>667</v>
      </c>
      <c r="R53" s="333">
        <v>78</v>
      </c>
      <c r="S53" s="333">
        <v>1579</v>
      </c>
      <c r="T53" s="333">
        <v>65</v>
      </c>
      <c r="U53" s="333">
        <v>82</v>
      </c>
      <c r="V53" s="333">
        <v>330</v>
      </c>
    </row>
    <row r="54" spans="1:22" x14ac:dyDescent="0.35">
      <c r="B54" s="207" t="s">
        <v>46</v>
      </c>
      <c r="C54" s="211">
        <v>0.62</v>
      </c>
      <c r="D54" s="211">
        <v>0.55000000000000004</v>
      </c>
      <c r="E54" s="211"/>
      <c r="F54" s="211"/>
      <c r="G54" s="211"/>
      <c r="H54" s="211"/>
      <c r="J54" s="212" t="s">
        <v>384</v>
      </c>
      <c r="K54" s="333">
        <v>4.49</v>
      </c>
      <c r="L54" s="336">
        <v>3.68</v>
      </c>
      <c r="M54" s="213"/>
      <c r="N54" s="214"/>
      <c r="Q54" s="210" t="s">
        <v>668</v>
      </c>
      <c r="R54" s="333">
        <v>185</v>
      </c>
      <c r="S54" s="333">
        <v>228</v>
      </c>
      <c r="T54" s="333">
        <v>208</v>
      </c>
      <c r="U54" s="333">
        <v>1831</v>
      </c>
      <c r="V54" s="333">
        <v>2848</v>
      </c>
    </row>
    <row r="55" spans="1:22" ht="26" x14ac:dyDescent="0.35">
      <c r="B55" s="207" t="s">
        <v>47</v>
      </c>
      <c r="C55" s="215">
        <f>+AVERAGE(E55,G55)</f>
        <v>4.5886001210564107</v>
      </c>
      <c r="D55" s="215">
        <f>+AVERAGE(F55,H55)</f>
        <v>3.7596385593147934</v>
      </c>
      <c r="E55" s="216">
        <f>M55*$K$55+$K$54</f>
        <v>4.5677862429825602</v>
      </c>
      <c r="F55" s="216">
        <f>M55*$L$55+$L$54</f>
        <v>3.7428273501012983</v>
      </c>
      <c r="G55" s="216">
        <f>N55*$K$55+$K$54</f>
        <v>4.6094139991302612</v>
      </c>
      <c r="H55" s="216">
        <f>N55*$L$55+$L$54</f>
        <v>3.7764497685282881</v>
      </c>
      <c r="J55" s="212" t="s">
        <v>137</v>
      </c>
      <c r="K55" s="333">
        <v>5.1999999999999998E-2</v>
      </c>
      <c r="L55" s="333">
        <v>4.2000000000000003E-2</v>
      </c>
      <c r="M55" s="337">
        <f>R58-T57</f>
        <v>1.4958892881261505</v>
      </c>
      <c r="N55" s="337">
        <f>U58-V57</f>
        <v>2.296423060197327</v>
      </c>
      <c r="Q55" s="210" t="s">
        <v>669</v>
      </c>
      <c r="R55" s="334">
        <f>R53*R54</f>
        <v>14430</v>
      </c>
      <c r="S55" s="334">
        <f t="shared" ref="S55:V55" si="0">S53*S54</f>
        <v>360012</v>
      </c>
      <c r="T55" s="334">
        <f t="shared" si="0"/>
        <v>13520</v>
      </c>
      <c r="U55" s="334">
        <f t="shared" si="0"/>
        <v>150142</v>
      </c>
      <c r="V55" s="334">
        <f t="shared" si="0"/>
        <v>939840</v>
      </c>
    </row>
    <row r="56" spans="1:22" x14ac:dyDescent="0.35">
      <c r="B56" s="207" t="s">
        <v>48</v>
      </c>
      <c r="C56" s="211">
        <v>24.6</v>
      </c>
      <c r="D56" s="211">
        <v>20.3</v>
      </c>
      <c r="E56" s="211"/>
      <c r="F56" s="211"/>
      <c r="G56" s="211"/>
      <c r="H56" s="211"/>
      <c r="Q56" s="210" t="s">
        <v>156</v>
      </c>
      <c r="R56" s="335">
        <v>118.3</v>
      </c>
      <c r="S56" s="335">
        <v>119.6</v>
      </c>
      <c r="T56" s="335">
        <v>118</v>
      </c>
      <c r="U56" s="335">
        <v>120.9</v>
      </c>
      <c r="V56" s="335">
        <v>120.2</v>
      </c>
    </row>
    <row r="57" spans="1:22" x14ac:dyDescent="0.35">
      <c r="B57" s="207" t="s">
        <v>49</v>
      </c>
      <c r="C57" s="211">
        <v>24.6</v>
      </c>
      <c r="D57" s="211">
        <v>20.3</v>
      </c>
      <c r="E57" s="211"/>
      <c r="F57" s="211"/>
      <c r="G57" s="211"/>
      <c r="H57" s="211"/>
      <c r="Q57" s="210" t="s">
        <v>159</v>
      </c>
      <c r="R57" s="333">
        <v>118</v>
      </c>
      <c r="S57" s="333">
        <v>118</v>
      </c>
      <c r="T57" s="333">
        <v>118</v>
      </c>
      <c r="U57" s="333">
        <v>118</v>
      </c>
      <c r="V57" s="333">
        <v>118</v>
      </c>
    </row>
    <row r="58" spans="1:22" x14ac:dyDescent="0.35">
      <c r="B58" s="207" t="s">
        <v>50</v>
      </c>
      <c r="C58" s="211">
        <v>24.6</v>
      </c>
      <c r="D58" s="211">
        <v>20.3</v>
      </c>
      <c r="E58" s="211"/>
      <c r="F58" s="211"/>
      <c r="G58" s="211"/>
      <c r="H58" s="211"/>
      <c r="Q58" s="210" t="s">
        <v>670</v>
      </c>
      <c r="R58" s="478">
        <f>SUMPRODUCT(R55:T55,R56:T56)/SUM(R55:T55)</f>
        <v>119.49588928812615</v>
      </c>
      <c r="S58" s="484"/>
      <c r="T58" s="479"/>
      <c r="U58" s="478">
        <f>(U55*U56+V55*V56)/(U55+V55)</f>
        <v>120.29642306019733</v>
      </c>
      <c r="V58" s="479"/>
    </row>
    <row r="59" spans="1:22" x14ac:dyDescent="0.35">
      <c r="B59" s="207" t="s">
        <v>51</v>
      </c>
      <c r="C59" s="215">
        <f>C55</f>
        <v>4.5886001210564107</v>
      </c>
      <c r="D59" s="215">
        <f>D55</f>
        <v>3.7596385593147934</v>
      </c>
      <c r="E59" s="216">
        <f>E55</f>
        <v>4.5677862429825602</v>
      </c>
      <c r="F59" s="216">
        <f t="shared" ref="F59" si="1">F55</f>
        <v>3.7428273501012983</v>
      </c>
      <c r="G59" s="216">
        <f>G55</f>
        <v>4.6094139991302612</v>
      </c>
      <c r="H59" s="216">
        <f>H55</f>
        <v>3.7764497685282881</v>
      </c>
      <c r="L59" s="162"/>
      <c r="Q59"/>
    </row>
    <row r="60" spans="1:22" x14ac:dyDescent="0.35">
      <c r="B60" s="207" t="s">
        <v>52</v>
      </c>
      <c r="C60" s="211">
        <v>24.6</v>
      </c>
      <c r="D60" s="211">
        <v>20.3</v>
      </c>
      <c r="E60" s="211"/>
      <c r="F60" s="211"/>
      <c r="G60" s="211"/>
      <c r="H60" s="211"/>
    </row>
    <row r="61" spans="1:22" x14ac:dyDescent="0.35">
      <c r="E61" s="350"/>
      <c r="F61" s="350"/>
      <c r="J61" s="162"/>
      <c r="K61" s="162"/>
    </row>
    <row r="62" spans="1:22" x14ac:dyDescent="0.35">
      <c r="J62" s="162"/>
      <c r="K62" s="162"/>
    </row>
    <row r="63" spans="1:22" s="202" customFormat="1" x14ac:dyDescent="0.35">
      <c r="A63" s="201" t="s">
        <v>707</v>
      </c>
    </row>
    <row r="64" spans="1:22" x14ac:dyDescent="0.35">
      <c r="J64" s="162"/>
      <c r="K64" s="162"/>
    </row>
    <row r="65" spans="1:14" x14ac:dyDescent="0.35">
      <c r="B65" s="51" t="s">
        <v>387</v>
      </c>
      <c r="C65" s="476" t="s">
        <v>665</v>
      </c>
      <c r="D65" s="483"/>
      <c r="E65" s="483"/>
      <c r="F65" s="477"/>
      <c r="G65" s="476" t="s">
        <v>666</v>
      </c>
      <c r="H65" s="477"/>
      <c r="K65" s="162"/>
    </row>
    <row r="66" spans="1:14" x14ac:dyDescent="0.35">
      <c r="B66" s="217"/>
      <c r="C66" s="210" t="s">
        <v>708</v>
      </c>
      <c r="D66" s="210" t="s">
        <v>663</v>
      </c>
      <c r="E66" s="210" t="s">
        <v>157</v>
      </c>
      <c r="F66" s="210" t="s">
        <v>158</v>
      </c>
      <c r="G66" s="210" t="s">
        <v>70</v>
      </c>
      <c r="H66" s="210" t="s">
        <v>664</v>
      </c>
      <c r="K66" s="162"/>
      <c r="L66" s="162"/>
    </row>
    <row r="67" spans="1:14" x14ac:dyDescent="0.35">
      <c r="B67" s="210" t="s">
        <v>667</v>
      </c>
      <c r="C67" s="333">
        <v>15</v>
      </c>
      <c r="D67" s="333">
        <v>78</v>
      </c>
      <c r="E67" s="333">
        <v>1579</v>
      </c>
      <c r="F67" s="333">
        <v>65</v>
      </c>
      <c r="G67" s="333">
        <v>82</v>
      </c>
      <c r="H67" s="333">
        <v>330</v>
      </c>
      <c r="K67" s="162"/>
      <c r="L67" s="162"/>
    </row>
    <row r="68" spans="1:14" x14ac:dyDescent="0.35">
      <c r="B68" s="210" t="s">
        <v>668</v>
      </c>
      <c r="C68" s="333">
        <v>569</v>
      </c>
      <c r="D68" s="333">
        <v>185</v>
      </c>
      <c r="E68" s="333">
        <v>228</v>
      </c>
      <c r="F68" s="333">
        <v>208</v>
      </c>
      <c r="G68" s="333">
        <v>1831</v>
      </c>
      <c r="H68" s="333">
        <v>2848</v>
      </c>
      <c r="K68" s="162"/>
      <c r="L68" s="162"/>
    </row>
    <row r="69" spans="1:14" x14ac:dyDescent="0.35">
      <c r="B69" s="210" t="s">
        <v>669</v>
      </c>
      <c r="C69" s="334">
        <f>C67*C68</f>
        <v>8535</v>
      </c>
      <c r="D69" s="334">
        <f t="shared" ref="D69:F69" si="2">D67*D68</f>
        <v>14430</v>
      </c>
      <c r="E69" s="334">
        <f t="shared" si="2"/>
        <v>360012</v>
      </c>
      <c r="F69" s="334">
        <f t="shared" si="2"/>
        <v>13520</v>
      </c>
      <c r="G69" s="334">
        <f t="shared" ref="G69:H69" si="3">G67*G68</f>
        <v>150142</v>
      </c>
      <c r="H69" s="334">
        <f t="shared" si="3"/>
        <v>939840</v>
      </c>
      <c r="K69" s="162"/>
      <c r="L69" s="162"/>
    </row>
    <row r="70" spans="1:14" x14ac:dyDescent="0.35">
      <c r="B70" s="210" t="s">
        <v>709</v>
      </c>
      <c r="C70" s="335">
        <v>2.8</v>
      </c>
      <c r="D70" s="335">
        <v>2.6</v>
      </c>
      <c r="E70" s="335">
        <v>2.5</v>
      </c>
      <c r="F70" s="335">
        <v>1.8</v>
      </c>
      <c r="G70" s="335"/>
      <c r="H70" s="335">
        <v>1.8</v>
      </c>
      <c r="K70" s="162"/>
      <c r="L70" s="162"/>
    </row>
    <row r="71" spans="1:14" x14ac:dyDescent="0.35">
      <c r="B71" s="210" t="s">
        <v>710</v>
      </c>
      <c r="C71" s="478">
        <f>SUMPRODUCT(C69:F69,C70:F70)/SUM(C69:F69)</f>
        <v>2.4862281429619895</v>
      </c>
      <c r="D71" s="484"/>
      <c r="E71" s="484"/>
      <c r="F71" s="479"/>
      <c r="G71" s="478">
        <f>H70</f>
        <v>1.8</v>
      </c>
      <c r="H71" s="479"/>
      <c r="N71" s="331"/>
    </row>
    <row r="72" spans="1:14" x14ac:dyDescent="0.35">
      <c r="B72" s="210" t="s">
        <v>711</v>
      </c>
      <c r="C72" s="335">
        <v>2.8</v>
      </c>
      <c r="D72" s="335">
        <v>3.4</v>
      </c>
      <c r="E72" s="335">
        <v>3.7</v>
      </c>
      <c r="F72" s="335">
        <v>3.2</v>
      </c>
      <c r="G72" s="335">
        <v>3.9</v>
      </c>
      <c r="H72" s="335">
        <v>3.5</v>
      </c>
      <c r="N72" s="331"/>
    </row>
    <row r="73" spans="1:14" x14ac:dyDescent="0.35">
      <c r="B73" s="210" t="s">
        <v>712</v>
      </c>
      <c r="C73" s="485">
        <f>SUMPRODUCT(C69:F69,C72:F72)/SUM(C69:F69)</f>
        <v>3.6526591626166152</v>
      </c>
      <c r="D73" s="486"/>
      <c r="E73" s="486"/>
      <c r="F73" s="487"/>
      <c r="G73" s="485">
        <f>(G72*G69+H72*H69)/(G69+H69)</f>
        <v>3.555098891541328</v>
      </c>
      <c r="H73" s="487"/>
      <c r="N73" s="331"/>
    </row>
    <row r="74" spans="1:14" x14ac:dyDescent="0.35">
      <c r="B74"/>
      <c r="C74"/>
      <c r="D74"/>
      <c r="E74"/>
      <c r="F74"/>
      <c r="G74"/>
      <c r="H74"/>
      <c r="N74" s="331"/>
    </row>
    <row r="75" spans="1:14" x14ac:dyDescent="0.35">
      <c r="B75" s="12"/>
      <c r="C75" s="1" t="s">
        <v>717</v>
      </c>
      <c r="D75" s="1" t="s">
        <v>718</v>
      </c>
      <c r="E75" s="12"/>
      <c r="F75" s="12"/>
      <c r="G75" s="12"/>
      <c r="H75" s="12"/>
      <c r="N75" s="331"/>
    </row>
    <row r="76" spans="1:14" x14ac:dyDescent="0.35">
      <c r="B76" s="212" t="s">
        <v>716</v>
      </c>
      <c r="C76" s="351">
        <f>C71</f>
        <v>2.4862281429619895</v>
      </c>
      <c r="D76" s="351">
        <f>G71</f>
        <v>1.8</v>
      </c>
      <c r="E76"/>
      <c r="F76"/>
      <c r="G76"/>
      <c r="H76"/>
      <c r="N76" s="331"/>
    </row>
    <row r="77" spans="1:14" x14ac:dyDescent="0.35">
      <c r="B77" s="212" t="s">
        <v>47</v>
      </c>
      <c r="C77" s="351">
        <f>C73</f>
        <v>3.6526591626166152</v>
      </c>
      <c r="D77" s="351">
        <f>G73</f>
        <v>3.555098891541328</v>
      </c>
      <c r="N77" s="331"/>
    </row>
    <row r="78" spans="1:14" x14ac:dyDescent="0.35">
      <c r="N78" s="331"/>
    </row>
    <row r="79" spans="1:14" s="202" customFormat="1" x14ac:dyDescent="0.35">
      <c r="A79" s="201" t="s">
        <v>134</v>
      </c>
      <c r="N79" s="332"/>
    </row>
    <row r="80" spans="1:14" x14ac:dyDescent="0.35">
      <c r="N80" s="331"/>
    </row>
    <row r="81" spans="1:14" x14ac:dyDescent="0.35">
      <c r="B81" s="210" t="s">
        <v>133</v>
      </c>
      <c r="C81" s="208" t="s">
        <v>46</v>
      </c>
      <c r="D81" s="208" t="s">
        <v>47</v>
      </c>
      <c r="E81" s="208" t="s">
        <v>51</v>
      </c>
      <c r="F81" s="208" t="s">
        <v>50</v>
      </c>
      <c r="G81" s="208" t="s">
        <v>49</v>
      </c>
      <c r="H81" s="208" t="s">
        <v>48</v>
      </c>
      <c r="I81" s="208" t="s">
        <v>52</v>
      </c>
      <c r="N81" s="331"/>
    </row>
    <row r="82" spans="1:14" x14ac:dyDescent="0.35">
      <c r="B82" s="210" t="s">
        <v>361</v>
      </c>
      <c r="C82" s="218">
        <v>0.05</v>
      </c>
      <c r="D82" s="218">
        <v>0.05</v>
      </c>
      <c r="E82" s="218">
        <v>0.05</v>
      </c>
      <c r="F82" s="218">
        <v>0.1</v>
      </c>
      <c r="G82" s="218">
        <v>0.1</v>
      </c>
      <c r="H82" s="218">
        <v>0.1</v>
      </c>
      <c r="I82" s="218">
        <v>0</v>
      </c>
    </row>
    <row r="83" spans="1:14" x14ac:dyDescent="0.35">
      <c r="B83" s="210" t="s">
        <v>61</v>
      </c>
      <c r="C83" s="219">
        <v>6</v>
      </c>
      <c r="D83" s="219">
        <v>3</v>
      </c>
      <c r="E83" s="219">
        <v>3</v>
      </c>
      <c r="F83" s="219">
        <v>1</v>
      </c>
      <c r="G83" s="219">
        <v>1</v>
      </c>
      <c r="H83" s="219">
        <v>1</v>
      </c>
      <c r="I83" s="219">
        <v>1</v>
      </c>
    </row>
    <row r="84" spans="1:14" x14ac:dyDescent="0.35">
      <c r="C84" s="163"/>
      <c r="D84" s="163"/>
    </row>
    <row r="85" spans="1:14" s="202" customFormat="1" x14ac:dyDescent="0.35">
      <c r="A85" s="201" t="s">
        <v>146</v>
      </c>
    </row>
    <row r="86" spans="1:14" x14ac:dyDescent="0.35">
      <c r="B86" s="209"/>
      <c r="C86" s="209"/>
      <c r="D86" s="209"/>
      <c r="E86" s="209"/>
    </row>
    <row r="87" spans="1:14" x14ac:dyDescent="0.35">
      <c r="B87" s="207" t="s">
        <v>53</v>
      </c>
      <c r="C87" s="207" t="s">
        <v>54</v>
      </c>
      <c r="D87" s="207" t="s">
        <v>55</v>
      </c>
    </row>
    <row r="88" spans="1:14" x14ac:dyDescent="0.35">
      <c r="B88" s="208" t="s">
        <v>56</v>
      </c>
      <c r="C88" s="218">
        <v>0</v>
      </c>
      <c r="D88" s="218">
        <v>1</v>
      </c>
    </row>
    <row r="89" spans="1:14" x14ac:dyDescent="0.35">
      <c r="B89" s="208" t="s">
        <v>57</v>
      </c>
      <c r="C89" s="218">
        <v>0</v>
      </c>
      <c r="D89" s="218">
        <v>1</v>
      </c>
    </row>
    <row r="90" spans="1:14" x14ac:dyDescent="0.35">
      <c r="B90" s="208" t="s">
        <v>58</v>
      </c>
      <c r="C90" s="218">
        <v>1</v>
      </c>
      <c r="D90" s="218">
        <v>0</v>
      </c>
    </row>
    <row r="91" spans="1:14" x14ac:dyDescent="0.35">
      <c r="B91" s="208" t="s">
        <v>59</v>
      </c>
      <c r="C91" s="218">
        <v>1</v>
      </c>
      <c r="D91" s="218">
        <v>0</v>
      </c>
    </row>
    <row r="94" spans="1:14" s="202" customFormat="1" x14ac:dyDescent="0.35">
      <c r="A94" s="201" t="s">
        <v>549</v>
      </c>
    </row>
    <row r="96" spans="1:14" x14ac:dyDescent="0.35">
      <c r="B96" s="207" t="s">
        <v>53</v>
      </c>
      <c r="C96" s="210" t="s">
        <v>130</v>
      </c>
      <c r="D96" s="207" t="s">
        <v>129</v>
      </c>
      <c r="E96" s="207" t="s">
        <v>397</v>
      </c>
    </row>
    <row r="97" spans="2:5" ht="26.5" x14ac:dyDescent="0.35">
      <c r="B97" s="220" t="s">
        <v>56</v>
      </c>
      <c r="C97" s="221" t="s">
        <v>131</v>
      </c>
      <c r="D97" s="222" t="s">
        <v>302</v>
      </c>
      <c r="E97" s="221" t="s">
        <v>288</v>
      </c>
    </row>
    <row r="98" spans="2:5" ht="26.5" x14ac:dyDescent="0.35">
      <c r="B98" s="220" t="s">
        <v>56</v>
      </c>
      <c r="C98" s="221" t="s">
        <v>131</v>
      </c>
      <c r="D98" s="222" t="s">
        <v>701</v>
      </c>
      <c r="E98" s="221" t="s">
        <v>288</v>
      </c>
    </row>
    <row r="99" spans="2:5" ht="26.5" x14ac:dyDescent="0.35">
      <c r="B99" s="220" t="s">
        <v>56</v>
      </c>
      <c r="C99" s="221" t="s">
        <v>131</v>
      </c>
      <c r="D99" s="222" t="s">
        <v>702</v>
      </c>
      <c r="E99" s="221" t="s">
        <v>288</v>
      </c>
    </row>
    <row r="100" spans="2:5" x14ac:dyDescent="0.35">
      <c r="B100" s="220" t="s">
        <v>56</v>
      </c>
      <c r="C100" s="221" t="s">
        <v>131</v>
      </c>
      <c r="D100" s="222" t="s">
        <v>673</v>
      </c>
      <c r="E100" s="221" t="s">
        <v>398</v>
      </c>
    </row>
    <row r="101" spans="2:5" x14ac:dyDescent="0.35">
      <c r="B101" s="220" t="s">
        <v>56</v>
      </c>
      <c r="C101" s="221" t="s">
        <v>131</v>
      </c>
      <c r="D101" s="222" t="s">
        <v>674</v>
      </c>
      <c r="E101" s="221" t="s">
        <v>288</v>
      </c>
    </row>
    <row r="102" spans="2:5" x14ac:dyDescent="0.35">
      <c r="B102" s="220" t="s">
        <v>56</v>
      </c>
      <c r="C102" s="221" t="s">
        <v>131</v>
      </c>
      <c r="D102" s="222" t="s">
        <v>675</v>
      </c>
      <c r="E102" s="221" t="s">
        <v>288</v>
      </c>
    </row>
    <row r="103" spans="2:5" x14ac:dyDescent="0.35">
      <c r="B103" s="220" t="s">
        <v>56</v>
      </c>
      <c r="C103" s="221" t="s">
        <v>131</v>
      </c>
      <c r="D103" s="222" t="s">
        <v>728</v>
      </c>
      <c r="E103" s="221" t="s">
        <v>288</v>
      </c>
    </row>
    <row r="104" spans="2:5" x14ac:dyDescent="0.35">
      <c r="B104" s="220" t="s">
        <v>56</v>
      </c>
      <c r="C104" s="221" t="s">
        <v>131</v>
      </c>
      <c r="D104" s="222" t="s">
        <v>729</v>
      </c>
      <c r="E104" s="221" t="s">
        <v>288</v>
      </c>
    </row>
    <row r="105" spans="2:5" ht="26.5" x14ac:dyDescent="0.35">
      <c r="B105" s="220" t="s">
        <v>57</v>
      </c>
      <c r="C105" s="223" t="s">
        <v>132</v>
      </c>
      <c r="D105" s="222" t="s">
        <v>302</v>
      </c>
      <c r="E105" s="221" t="s">
        <v>288</v>
      </c>
    </row>
    <row r="106" spans="2:5" ht="26.5" x14ac:dyDescent="0.35">
      <c r="B106" s="220" t="s">
        <v>57</v>
      </c>
      <c r="C106" s="223" t="s">
        <v>132</v>
      </c>
      <c r="D106" s="222" t="s">
        <v>701</v>
      </c>
      <c r="E106" s="221" t="s">
        <v>288</v>
      </c>
    </row>
    <row r="107" spans="2:5" ht="26.5" x14ac:dyDescent="0.35">
      <c r="B107" s="220" t="s">
        <v>57</v>
      </c>
      <c r="C107" s="223" t="s">
        <v>132</v>
      </c>
      <c r="D107" s="222" t="s">
        <v>702</v>
      </c>
      <c r="E107" s="221" t="s">
        <v>288</v>
      </c>
    </row>
    <row r="108" spans="2:5" x14ac:dyDescent="0.35">
      <c r="B108" s="220" t="s">
        <v>57</v>
      </c>
      <c r="C108" s="223" t="s">
        <v>132</v>
      </c>
      <c r="D108" s="222" t="s">
        <v>673</v>
      </c>
      <c r="E108" s="221" t="s">
        <v>398</v>
      </c>
    </row>
    <row r="109" spans="2:5" x14ac:dyDescent="0.35">
      <c r="B109" s="220" t="s">
        <v>57</v>
      </c>
      <c r="C109" s="223" t="s">
        <v>132</v>
      </c>
      <c r="D109" s="222" t="s">
        <v>674</v>
      </c>
      <c r="E109" s="221" t="s">
        <v>288</v>
      </c>
    </row>
    <row r="110" spans="2:5" x14ac:dyDescent="0.35">
      <c r="B110" s="220" t="s">
        <v>57</v>
      </c>
      <c r="C110" s="223" t="s">
        <v>132</v>
      </c>
      <c r="D110" s="222" t="s">
        <v>728</v>
      </c>
      <c r="E110" s="221" t="s">
        <v>288</v>
      </c>
    </row>
    <row r="111" spans="2:5" x14ac:dyDescent="0.35">
      <c r="B111" s="220" t="s">
        <v>57</v>
      </c>
      <c r="C111" s="223" t="s">
        <v>132</v>
      </c>
      <c r="D111" s="222" t="s">
        <v>729</v>
      </c>
      <c r="E111" s="221" t="s">
        <v>288</v>
      </c>
    </row>
    <row r="112" spans="2:5" x14ac:dyDescent="0.35">
      <c r="B112" s="224" t="s">
        <v>58</v>
      </c>
      <c r="C112" s="223" t="s">
        <v>142</v>
      </c>
      <c r="D112" s="222" t="s">
        <v>2</v>
      </c>
      <c r="E112" s="221" t="s">
        <v>290</v>
      </c>
    </row>
    <row r="113" spans="1:5" x14ac:dyDescent="0.35">
      <c r="B113" s="224" t="s">
        <v>59</v>
      </c>
      <c r="C113" s="223" t="s">
        <v>143</v>
      </c>
      <c r="D113" s="222" t="s">
        <v>2</v>
      </c>
      <c r="E113" s="221" t="s">
        <v>290</v>
      </c>
    </row>
    <row r="115" spans="1:5" s="202" customFormat="1" x14ac:dyDescent="0.35">
      <c r="A115" s="201" t="s">
        <v>145</v>
      </c>
    </row>
    <row r="117" spans="1:5" x14ac:dyDescent="0.35">
      <c r="B117" s="207" t="s">
        <v>144</v>
      </c>
    </row>
    <row r="118" spans="1:5" x14ac:dyDescent="0.35">
      <c r="B118" s="208" t="s">
        <v>114</v>
      </c>
    </row>
    <row r="119" spans="1:5" x14ac:dyDescent="0.35">
      <c r="B119" s="208" t="s">
        <v>115</v>
      </c>
    </row>
    <row r="121" spans="1:5" s="202" customFormat="1" x14ac:dyDescent="0.35">
      <c r="A121" s="201" t="s">
        <v>333</v>
      </c>
    </row>
    <row r="123" spans="1:5" x14ac:dyDescent="0.35">
      <c r="B123" s="207" t="s">
        <v>336</v>
      </c>
    </row>
    <row r="124" spans="1:5" x14ac:dyDescent="0.35">
      <c r="B124" s="225" t="s">
        <v>60</v>
      </c>
    </row>
    <row r="125" spans="1:5" x14ac:dyDescent="0.35">
      <c r="B125" s="225" t="s">
        <v>334</v>
      </c>
    </row>
    <row r="126" spans="1:5" x14ac:dyDescent="0.35">
      <c r="B126" s="225" t="s">
        <v>335</v>
      </c>
    </row>
    <row r="127" spans="1:5" x14ac:dyDescent="0.35">
      <c r="B127" s="225" t="s">
        <v>303</v>
      </c>
    </row>
    <row r="128" spans="1:5" x14ac:dyDescent="0.35">
      <c r="B128" s="225" t="s">
        <v>703</v>
      </c>
    </row>
    <row r="130" spans="1:2" s="202" customFormat="1" x14ac:dyDescent="0.35">
      <c r="A130" s="201" t="s">
        <v>332</v>
      </c>
    </row>
    <row r="132" spans="1:2" x14ac:dyDescent="0.35">
      <c r="B132" s="207" t="s">
        <v>337</v>
      </c>
    </row>
    <row r="133" spans="1:2" x14ac:dyDescent="0.35">
      <c r="B133" s="225" t="s">
        <v>676</v>
      </c>
    </row>
    <row r="134" spans="1:2" x14ac:dyDescent="0.35">
      <c r="B134" s="225" t="s">
        <v>677</v>
      </c>
    </row>
    <row r="135" spans="1:2" x14ac:dyDescent="0.35">
      <c r="B135" s="225" t="s">
        <v>678</v>
      </c>
    </row>
    <row r="136" spans="1:2" x14ac:dyDescent="0.35">
      <c r="B136" s="225" t="s">
        <v>679</v>
      </c>
    </row>
    <row r="137" spans="1:2" x14ac:dyDescent="0.35">
      <c r="B137" s="225" t="s">
        <v>680</v>
      </c>
    </row>
    <row r="140" spans="1:2" s="202" customFormat="1" x14ac:dyDescent="0.35">
      <c r="A140" s="201" t="s">
        <v>420</v>
      </c>
    </row>
    <row r="142" spans="1:2" x14ac:dyDescent="0.35">
      <c r="B142" s="207" t="s">
        <v>289</v>
      </c>
    </row>
    <row r="143" spans="1:2" x14ac:dyDescent="0.35">
      <c r="B143" s="208" t="s">
        <v>288</v>
      </c>
    </row>
    <row r="144" spans="1:2" x14ac:dyDescent="0.35">
      <c r="B144" s="208" t="s">
        <v>290</v>
      </c>
    </row>
    <row r="146" spans="1:5" s="202" customFormat="1" x14ac:dyDescent="0.35">
      <c r="A146" s="201" t="s">
        <v>389</v>
      </c>
    </row>
    <row r="148" spans="1:5" x14ac:dyDescent="0.35">
      <c r="B148" s="207" t="s">
        <v>389</v>
      </c>
    </row>
    <row r="149" spans="1:5" x14ac:dyDescent="0.35">
      <c r="B149" s="208" t="s">
        <v>390</v>
      </c>
    </row>
    <row r="150" spans="1:5" x14ac:dyDescent="0.35">
      <c r="B150" s="208" t="s">
        <v>392</v>
      </c>
    </row>
    <row r="152" spans="1:5" s="202" customFormat="1" x14ac:dyDescent="0.35">
      <c r="A152" s="201" t="s">
        <v>404</v>
      </c>
    </row>
    <row r="154" spans="1:5" x14ac:dyDescent="0.35">
      <c r="B154" s="207" t="s">
        <v>152</v>
      </c>
      <c r="C154" s="207" t="s">
        <v>154</v>
      </c>
      <c r="D154" s="207" t="s">
        <v>153</v>
      </c>
      <c r="E154" s="207" t="s">
        <v>287</v>
      </c>
    </row>
    <row r="155" spans="1:5" x14ac:dyDescent="0.35">
      <c r="B155" s="224" t="s">
        <v>290</v>
      </c>
      <c r="C155" s="224" t="s">
        <v>399</v>
      </c>
      <c r="D155" s="225" t="s">
        <v>4</v>
      </c>
      <c r="E155" s="220" t="s">
        <v>290</v>
      </c>
    </row>
    <row r="156" spans="1:5" x14ac:dyDescent="0.35">
      <c r="B156" s="224" t="s">
        <v>290</v>
      </c>
      <c r="C156" s="224" t="s">
        <v>399</v>
      </c>
      <c r="D156" s="225" t="s">
        <v>5</v>
      </c>
      <c r="E156" s="220" t="s">
        <v>290</v>
      </c>
    </row>
    <row r="157" spans="1:5" x14ac:dyDescent="0.35">
      <c r="B157" s="224" t="s">
        <v>290</v>
      </c>
      <c r="C157" s="224" t="s">
        <v>399</v>
      </c>
      <c r="D157" s="225" t="s">
        <v>291</v>
      </c>
      <c r="E157" s="224" t="s">
        <v>288</v>
      </c>
    </row>
    <row r="158" spans="1:5" x14ac:dyDescent="0.35">
      <c r="B158" s="224" t="s">
        <v>290</v>
      </c>
      <c r="C158" s="224" t="s">
        <v>399</v>
      </c>
      <c r="D158" s="225" t="s">
        <v>307</v>
      </c>
      <c r="E158" s="224" t="s">
        <v>398</v>
      </c>
    </row>
    <row r="159" spans="1:5" x14ac:dyDescent="0.35">
      <c r="B159" s="220" t="s">
        <v>288</v>
      </c>
      <c r="C159" s="224" t="s">
        <v>405</v>
      </c>
      <c r="D159" s="225" t="s">
        <v>338</v>
      </c>
      <c r="E159" s="220" t="s">
        <v>290</v>
      </c>
    </row>
    <row r="160" spans="1:5" x14ac:dyDescent="0.35">
      <c r="B160" s="220" t="s">
        <v>288</v>
      </c>
      <c r="C160" s="224" t="s">
        <v>405</v>
      </c>
      <c r="D160" s="225" t="s">
        <v>308</v>
      </c>
      <c r="E160" s="224" t="s">
        <v>398</v>
      </c>
    </row>
    <row r="161" spans="2:5" x14ac:dyDescent="0.35">
      <c r="B161" s="220" t="s">
        <v>288</v>
      </c>
      <c r="C161" s="224" t="s">
        <v>405</v>
      </c>
      <c r="D161" s="225" t="s">
        <v>306</v>
      </c>
      <c r="E161" s="224" t="s">
        <v>398</v>
      </c>
    </row>
    <row r="162" spans="2:5" x14ac:dyDescent="0.35">
      <c r="B162" s="220" t="s">
        <v>288</v>
      </c>
      <c r="C162" s="224" t="s">
        <v>405</v>
      </c>
      <c r="D162" s="225" t="s">
        <v>292</v>
      </c>
      <c r="E162" s="220" t="s">
        <v>288</v>
      </c>
    </row>
    <row r="163" spans="2:5" x14ac:dyDescent="0.35">
      <c r="B163" s="224" t="s">
        <v>288</v>
      </c>
      <c r="C163" s="224" t="s">
        <v>405</v>
      </c>
      <c r="D163" s="225" t="s">
        <v>291</v>
      </c>
      <c r="E163" s="220" t="s">
        <v>288</v>
      </c>
    </row>
    <row r="164" spans="2:5" x14ac:dyDescent="0.35">
      <c r="B164" s="224" t="s">
        <v>288</v>
      </c>
      <c r="C164" s="224" t="s">
        <v>405</v>
      </c>
      <c r="D164" s="225" t="s">
        <v>307</v>
      </c>
      <c r="E164" s="224" t="s">
        <v>398</v>
      </c>
    </row>
    <row r="167" spans="2:5" x14ac:dyDescent="0.35">
      <c r="B167" s="207" t="s">
        <v>152</v>
      </c>
      <c r="C167" s="207" t="s">
        <v>154</v>
      </c>
      <c r="D167" s="207" t="s">
        <v>153</v>
      </c>
      <c r="E167" s="207" t="s">
        <v>287</v>
      </c>
    </row>
    <row r="168" spans="2:5" x14ac:dyDescent="0.35">
      <c r="B168" s="224" t="s">
        <v>290</v>
      </c>
      <c r="C168" s="224" t="s">
        <v>400</v>
      </c>
      <c r="D168" s="225" t="s">
        <v>37</v>
      </c>
      <c r="E168" s="224" t="s">
        <v>290</v>
      </c>
    </row>
    <row r="169" spans="2:5" x14ac:dyDescent="0.35">
      <c r="B169" s="224" t="s">
        <v>290</v>
      </c>
      <c r="C169" s="224" t="s">
        <v>400</v>
      </c>
      <c r="D169" s="225" t="s">
        <v>304</v>
      </c>
      <c r="E169" s="224" t="s">
        <v>290</v>
      </c>
    </row>
    <row r="170" spans="2:5" x14ac:dyDescent="0.35">
      <c r="B170" s="224" t="s">
        <v>290</v>
      </c>
      <c r="C170" s="224" t="s">
        <v>400</v>
      </c>
      <c r="D170" s="225" t="s">
        <v>305</v>
      </c>
      <c r="E170" s="224" t="s">
        <v>290</v>
      </c>
    </row>
    <row r="171" spans="2:5" x14ac:dyDescent="0.35">
      <c r="B171" s="224" t="s">
        <v>290</v>
      </c>
      <c r="C171" s="224" t="s">
        <v>400</v>
      </c>
      <c r="D171" s="225" t="s">
        <v>411</v>
      </c>
      <c r="E171" s="224" t="s">
        <v>290</v>
      </c>
    </row>
    <row r="172" spans="2:5" ht="28.15" customHeight="1" x14ac:dyDescent="0.35">
      <c r="B172" s="224" t="s">
        <v>288</v>
      </c>
      <c r="C172" s="224" t="s">
        <v>403</v>
      </c>
      <c r="D172" s="226" t="s">
        <v>402</v>
      </c>
      <c r="E172" s="224" t="s">
        <v>288</v>
      </c>
    </row>
    <row r="173" spans="2:5" x14ac:dyDescent="0.35">
      <c r="B173" s="224" t="s">
        <v>288</v>
      </c>
      <c r="C173" s="224" t="s">
        <v>403</v>
      </c>
      <c r="D173" s="225" t="s">
        <v>401</v>
      </c>
      <c r="E173" s="224" t="s">
        <v>288</v>
      </c>
    </row>
    <row r="174" spans="2:5" x14ac:dyDescent="0.35">
      <c r="B174" s="224" t="s">
        <v>288</v>
      </c>
      <c r="C174" s="224" t="s">
        <v>403</v>
      </c>
      <c r="D174" s="225" t="s">
        <v>681</v>
      </c>
      <c r="E174" s="224" t="s">
        <v>288</v>
      </c>
    </row>
    <row r="175" spans="2:5" ht="26.5" x14ac:dyDescent="0.35">
      <c r="B175" s="224" t="s">
        <v>288</v>
      </c>
      <c r="C175" s="224" t="s">
        <v>403</v>
      </c>
      <c r="D175" s="225" t="s">
        <v>682</v>
      </c>
      <c r="E175" s="224" t="s">
        <v>288</v>
      </c>
    </row>
    <row r="176" spans="2:5" ht="46.15" customHeight="1" x14ac:dyDescent="0.35">
      <c r="B176" s="224" t="s">
        <v>288</v>
      </c>
      <c r="C176" s="224" t="s">
        <v>403</v>
      </c>
      <c r="D176" s="225" t="s">
        <v>683</v>
      </c>
      <c r="E176" s="224" t="s">
        <v>288</v>
      </c>
    </row>
    <row r="177" spans="1:5" x14ac:dyDescent="0.35">
      <c r="B177" s="224" t="s">
        <v>288</v>
      </c>
      <c r="C177" s="224" t="s">
        <v>403</v>
      </c>
      <c r="D177" s="225" t="s">
        <v>411</v>
      </c>
      <c r="E177" s="224" t="s">
        <v>288</v>
      </c>
    </row>
    <row r="181" spans="1:5" s="202" customFormat="1" x14ac:dyDescent="0.35">
      <c r="A181" s="201" t="s">
        <v>421</v>
      </c>
    </row>
    <row r="183" spans="1:5" x14ac:dyDescent="0.35">
      <c r="B183" s="207" t="s">
        <v>149</v>
      </c>
    </row>
    <row r="184" spans="1:5" x14ac:dyDescent="0.35">
      <c r="B184" s="225" t="s">
        <v>38</v>
      </c>
    </row>
    <row r="185" spans="1:5" x14ac:dyDescent="0.35">
      <c r="B185" s="225" t="s">
        <v>313</v>
      </c>
    </row>
    <row r="186" spans="1:5" x14ac:dyDescent="0.35">
      <c r="B186" s="225" t="s">
        <v>684</v>
      </c>
    </row>
    <row r="187" spans="1:5" x14ac:dyDescent="0.35">
      <c r="B187" s="225" t="s">
        <v>685</v>
      </c>
    </row>
    <row r="188" spans="1:5" x14ac:dyDescent="0.35">
      <c r="B188" s="225" t="s">
        <v>310</v>
      </c>
    </row>
    <row r="189" spans="1:5" x14ac:dyDescent="0.35">
      <c r="B189" s="225" t="s">
        <v>311</v>
      </c>
    </row>
    <row r="190" spans="1:5" x14ac:dyDescent="0.35">
      <c r="B190" s="225" t="s">
        <v>312</v>
      </c>
    </row>
    <row r="191" spans="1:5" x14ac:dyDescent="0.35">
      <c r="B191" s="225" t="s">
        <v>686</v>
      </c>
    </row>
    <row r="192" spans="1:5" x14ac:dyDescent="0.35">
      <c r="B192" s="225" t="s">
        <v>687</v>
      </c>
    </row>
    <row r="193" spans="2:2" x14ac:dyDescent="0.35">
      <c r="B193" s="225" t="s">
        <v>688</v>
      </c>
    </row>
    <row r="194" spans="2:2" x14ac:dyDescent="0.35">
      <c r="B194" s="225" t="s">
        <v>689</v>
      </c>
    </row>
    <row r="195" spans="2:2" x14ac:dyDescent="0.35">
      <c r="B195" s="225" t="s">
        <v>690</v>
      </c>
    </row>
    <row r="196" spans="2:2" x14ac:dyDescent="0.35">
      <c r="B196" s="225" t="s">
        <v>691</v>
      </c>
    </row>
    <row r="197" spans="2:2" x14ac:dyDescent="0.35">
      <c r="B197" s="225" t="s">
        <v>314</v>
      </c>
    </row>
    <row r="198" spans="2:2" x14ac:dyDescent="0.35">
      <c r="B198" s="225" t="s">
        <v>692</v>
      </c>
    </row>
    <row r="199" spans="2:2" x14ac:dyDescent="0.35">
      <c r="B199" s="225" t="s">
        <v>693</v>
      </c>
    </row>
    <row r="201" spans="2:2" x14ac:dyDescent="0.35">
      <c r="B201" s="207" t="s">
        <v>150</v>
      </c>
    </row>
    <row r="202" spans="2:2" x14ac:dyDescent="0.35">
      <c r="B202" s="225" t="s">
        <v>38</v>
      </c>
    </row>
    <row r="203" spans="2:2" x14ac:dyDescent="0.35">
      <c r="B203" s="225" t="s">
        <v>39</v>
      </c>
    </row>
    <row r="204" spans="2:2" x14ac:dyDescent="0.35">
      <c r="B204" s="225" t="s">
        <v>694</v>
      </c>
    </row>
    <row r="205" spans="2:2" x14ac:dyDescent="0.35">
      <c r="B205" s="225" t="s">
        <v>695</v>
      </c>
    </row>
    <row r="206" spans="2:2" x14ac:dyDescent="0.35">
      <c r="B206" s="225" t="s">
        <v>315</v>
      </c>
    </row>
    <row r="207" spans="2:2" x14ac:dyDescent="0.35">
      <c r="B207" s="225" t="s">
        <v>316</v>
      </c>
    </row>
    <row r="208" spans="2:2" x14ac:dyDescent="0.35">
      <c r="B208" s="225" t="s">
        <v>317</v>
      </c>
    </row>
    <row r="210" spans="1:6" x14ac:dyDescent="0.35">
      <c r="B210" s="207" t="s">
        <v>309</v>
      </c>
    </row>
    <row r="211" spans="1:6" x14ac:dyDescent="0.35">
      <c r="B211" s="225" t="s">
        <v>340</v>
      </c>
    </row>
    <row r="212" spans="1:6" x14ac:dyDescent="0.35">
      <c r="B212" s="225" t="s">
        <v>362</v>
      </c>
    </row>
    <row r="213" spans="1:6" x14ac:dyDescent="0.35">
      <c r="B213" s="225" t="s">
        <v>339</v>
      </c>
    </row>
    <row r="216" spans="1:6" s="202" customFormat="1" x14ac:dyDescent="0.35">
      <c r="A216" s="201" t="s">
        <v>550</v>
      </c>
    </row>
    <row r="217" spans="1:6" x14ac:dyDescent="0.35">
      <c r="E217" s="51" t="s">
        <v>671</v>
      </c>
    </row>
    <row r="218" spans="1:6" x14ac:dyDescent="0.35">
      <c r="A218" s="51" t="s">
        <v>583</v>
      </c>
      <c r="C218" s="44" t="s">
        <v>574</v>
      </c>
      <c r="E218" s="51">
        <f>ROW(D221)</f>
        <v>221</v>
      </c>
    </row>
    <row r="220" spans="1:6" x14ac:dyDescent="0.35">
      <c r="B220" s="207" t="s">
        <v>407</v>
      </c>
      <c r="C220" s="207" t="s">
        <v>409</v>
      </c>
      <c r="D220" s="207" t="s">
        <v>410</v>
      </c>
      <c r="E220" s="207" t="s">
        <v>408</v>
      </c>
      <c r="F220" s="207" t="s">
        <v>566</v>
      </c>
    </row>
    <row r="221" spans="1:6" x14ac:dyDescent="0.35">
      <c r="B221" s="227">
        <f>IF(Exploitation!C50="OUI",$C$218,0)</f>
        <v>0</v>
      </c>
      <c r="C221" s="142">
        <f t="shared" ref="C221:C231" si="4">ROW(B221)</f>
        <v>221</v>
      </c>
      <c r="D221" s="142" t="str">
        <f>IF(B221&lt;&gt;0,B221,IF(B222&lt;&gt;0,B222,IF(B223&lt;&gt;0,B223,IF(B224&lt;&gt;0,B224,IF(B225&lt;&gt;0,B225,IF(B226&lt;&gt;0,B226,IF(B227&lt;&gt;0,B227,IF(B228&lt;&gt;0,B228,IF(B229&lt;&gt;0,B229,IF(B230&lt;&gt;0,B230,IF(B231&lt;&gt;0,B231,"")))))))))))</f>
        <v/>
      </c>
      <c r="E221" s="142" t="str">
        <f>IF(ISERROR(VLOOKUP(D221,$B$221:$C$231,2,FALSE)),"",VLOOKUP(D221,$B$221:$C$231,2,FALSE))</f>
        <v/>
      </c>
      <c r="F221" s="142">
        <f>IF(D221="",0,1)</f>
        <v>0</v>
      </c>
    </row>
    <row r="222" spans="1:6" x14ac:dyDescent="0.35">
      <c r="B222" s="227">
        <f>IF(Exploitation!C80="Liquide",Exploitation!B80,0)</f>
        <v>0</v>
      </c>
      <c r="C222" s="142">
        <f t="shared" si="4"/>
        <v>222</v>
      </c>
      <c r="D222" s="228" t="str">
        <f ca="1">IF(ISERROR(IF(INDIRECT("B"&amp;(E221+1))&lt;&gt;0,INDIRECT("B"&amp;(E221+1)),IF(INDIRECT("B"&amp;(E221+2))&lt;&gt;0,INDIRECT("B"&amp;(E221+2)),IF(INDIRECT("B"&amp;(E221+3))&lt;&gt;0,INDIRECT("B"&amp;(E221+3)),IF(INDIRECT("B"&amp;(E221+4))&lt;&gt;0,INDIRECT("B"&amp;(E221+4)),IF(INDIRECT("B"&amp;(E221+5))&lt;&gt;0,INDIRECT("B"&amp;(E221+5)),IF(INDIRECT("B"&amp;(E221+6))&lt;&gt;0,INDIRECT("B"&amp;(E221+6)),IF(INDIRECT("B"&amp;(E221+7))&lt;&gt;0,INDIRECT("B"&amp;(E221+7)),IF(INDIRECT("B"&amp;(E221+8))&lt;&gt;0,INDIRECT("B"&amp;(E221+8)),IF(INDIRECT("B"&amp;(E221+9))&lt;&gt;0,INDIRECT("B"&amp;(E221+9)),"")))))))))),"",IF(INDIRECT("B"&amp;(E221+1))&lt;&gt;0,INDIRECT("B"&amp;(E221+1)),IF(INDIRECT("B"&amp;(E221+2))&lt;&gt;0,INDIRECT("B"&amp;(E221+2)),IF(INDIRECT("B"&amp;(E221+3))&lt;&gt;0,INDIRECT("B"&amp;(E221+3)),IF(INDIRECT("B"&amp;(E221+4))&lt;&gt;0,INDIRECT("B"&amp;(E221+4)),IF(INDIRECT("B"&amp;(E221+5))&lt;&gt;0,INDIRECT("B"&amp;(E221+5)),IF(INDIRECT("B"&amp;(E221+6))&lt;&gt;0,INDIRECT("B"&amp;(E221+6)),IF(INDIRECT("B"&amp;(E221+7))&lt;&gt;0,INDIRECT("B"&amp;(E221+7)),IF(INDIRECT("B"&amp;(E221+8))&lt;&gt;0,INDIRECT("B"&amp;(E221+8)),IF(INDIRECT("B"&amp;(E221+9))&lt;&gt;0,INDIRECT("B"&amp;(E221+9)),""))))))))))</f>
        <v/>
      </c>
      <c r="E222" s="142" t="str">
        <f t="shared" ref="E222:E231" ca="1" si="5">IF(ISERROR(VLOOKUP(D222,$B$221:$C$231,2,FALSE)),"",VLOOKUP(D222,$B$221:$C$231,2,FALSE))</f>
        <v/>
      </c>
      <c r="F222" s="142">
        <f t="shared" ref="F222:F231" ca="1" si="6">IF(D222="",0,1)</f>
        <v>0</v>
      </c>
    </row>
    <row r="223" spans="1:6" x14ac:dyDescent="0.35">
      <c r="B223" s="227">
        <f>IF(Exploitation!C81="Liquide",Exploitation!B81,0)</f>
        <v>0</v>
      </c>
      <c r="C223" s="142">
        <f t="shared" si="4"/>
        <v>223</v>
      </c>
      <c r="D223" s="228" t="str">
        <f t="shared" ref="D223:D231" ca="1" si="7">IF(ISERROR(IF(INDIRECT("B"&amp;(E222+1))&lt;&gt;0,INDIRECT("B"&amp;(E222+1)),IF(INDIRECT("B"&amp;(E222+2))&lt;&gt;0,INDIRECT("B"&amp;(E222+2)),IF(INDIRECT("B"&amp;(E222+3))&lt;&gt;0,INDIRECT("B"&amp;(E222+3)),IF(INDIRECT("B"&amp;(E222+4))&lt;&gt;0,INDIRECT("B"&amp;(E222+4)),IF(INDIRECT("B"&amp;(E222+5))&lt;&gt;0,INDIRECT("B"&amp;(E222+5)),IF(INDIRECT("B"&amp;(E222+6))&lt;&gt;0,INDIRECT("B"&amp;(E222+6)),IF(INDIRECT("B"&amp;(E222+7))&lt;&gt;0,INDIRECT("B"&amp;(E222+7)),IF(INDIRECT("B"&amp;(E222+8))&lt;&gt;0,INDIRECT("B"&amp;(E222+8)),IF(INDIRECT("B"&amp;(E222+9))&lt;&gt;0,INDIRECT("B"&amp;(E222+9)),"")))))))))),"",IF(INDIRECT("B"&amp;(E222+1))&lt;&gt;0,INDIRECT("B"&amp;(E222+1)),IF(INDIRECT("B"&amp;(E222+2))&lt;&gt;0,INDIRECT("B"&amp;(E222+2)),IF(INDIRECT("B"&amp;(E222+3))&lt;&gt;0,INDIRECT("B"&amp;(E222+3)),IF(INDIRECT("B"&amp;(E222+4))&lt;&gt;0,INDIRECT("B"&amp;(E222+4)),IF(INDIRECT("B"&amp;(E222+5))&lt;&gt;0,INDIRECT("B"&amp;(E222+5)),IF(INDIRECT("B"&amp;(E222+6))&lt;&gt;0,INDIRECT("B"&amp;(E222+6)),IF(INDIRECT("B"&amp;(E222+7))&lt;&gt;0,INDIRECT("B"&amp;(E222+7)),IF(INDIRECT("B"&amp;(E222+8))&lt;&gt;0,INDIRECT("B"&amp;(E222+8)),IF(INDIRECT("B"&amp;(E222+9))&lt;&gt;0,INDIRECT("B"&amp;(E222+9)),""))))))))))</f>
        <v/>
      </c>
      <c r="E223" s="142" t="str">
        <f t="shared" ca="1" si="5"/>
        <v/>
      </c>
      <c r="F223" s="142">
        <f t="shared" ca="1" si="6"/>
        <v>0</v>
      </c>
    </row>
    <row r="224" spans="1:6" x14ac:dyDescent="0.35">
      <c r="B224" s="227">
        <f>IF(Exploitation!C82="Liquide",Exploitation!B82,0)</f>
        <v>0</v>
      </c>
      <c r="C224" s="142">
        <f t="shared" si="4"/>
        <v>224</v>
      </c>
      <c r="D224" s="228" t="str">
        <f t="shared" ca="1" si="7"/>
        <v/>
      </c>
      <c r="E224" s="142" t="str">
        <f t="shared" ca="1" si="5"/>
        <v/>
      </c>
      <c r="F224" s="142">
        <f t="shared" ca="1" si="6"/>
        <v>0</v>
      </c>
    </row>
    <row r="225" spans="1:7" x14ac:dyDescent="0.35">
      <c r="B225" s="227">
        <f>IF(Exploitation!C83="Liquide",Exploitation!B83,0)</f>
        <v>0</v>
      </c>
      <c r="C225" s="142">
        <f t="shared" si="4"/>
        <v>225</v>
      </c>
      <c r="D225" s="228" t="str">
        <f t="shared" ca="1" si="7"/>
        <v/>
      </c>
      <c r="E225" s="142" t="str">
        <f t="shared" ca="1" si="5"/>
        <v/>
      </c>
      <c r="F225" s="142">
        <f t="shared" ca="1" si="6"/>
        <v>0</v>
      </c>
    </row>
    <row r="226" spans="1:7" x14ac:dyDescent="0.35">
      <c r="B226" s="227">
        <f>IF(Exploitation!C84="Liquide",Exploitation!B84,0)</f>
        <v>0</v>
      </c>
      <c r="C226" s="142">
        <f t="shared" si="4"/>
        <v>226</v>
      </c>
      <c r="D226" s="228" t="str">
        <f t="shared" ca="1" si="7"/>
        <v/>
      </c>
      <c r="E226" s="142" t="str">
        <f t="shared" ca="1" si="5"/>
        <v/>
      </c>
      <c r="F226" s="142">
        <f t="shared" ca="1" si="6"/>
        <v>0</v>
      </c>
    </row>
    <row r="227" spans="1:7" x14ac:dyDescent="0.35">
      <c r="B227" s="227">
        <f>IF(Exploitation!C88="Liquide",Exploitation!B88,0)</f>
        <v>0</v>
      </c>
      <c r="C227" s="142">
        <f t="shared" si="4"/>
        <v>227</v>
      </c>
      <c r="D227" s="228" t="str">
        <f t="shared" ca="1" si="7"/>
        <v/>
      </c>
      <c r="E227" s="142" t="str">
        <f t="shared" ca="1" si="5"/>
        <v/>
      </c>
      <c r="F227" s="142">
        <f t="shared" ca="1" si="6"/>
        <v>0</v>
      </c>
    </row>
    <row r="228" spans="1:7" x14ac:dyDescent="0.35">
      <c r="B228" s="227">
        <f>IF(Exploitation!C89="Liquide",Exploitation!B89,0)</f>
        <v>0</v>
      </c>
      <c r="C228" s="142">
        <f t="shared" si="4"/>
        <v>228</v>
      </c>
      <c r="D228" s="228" t="str">
        <f t="shared" ca="1" si="7"/>
        <v/>
      </c>
      <c r="E228" s="142" t="str">
        <f t="shared" ca="1" si="5"/>
        <v/>
      </c>
      <c r="F228" s="142">
        <f t="shared" ca="1" si="6"/>
        <v>0</v>
      </c>
    </row>
    <row r="229" spans="1:7" x14ac:dyDescent="0.35">
      <c r="B229" s="227">
        <f>IF(Exploitation!C90="Liquide",Exploitation!B90,0)</f>
        <v>0</v>
      </c>
      <c r="C229" s="142">
        <f t="shared" si="4"/>
        <v>229</v>
      </c>
      <c r="D229" s="228" t="str">
        <f t="shared" ca="1" si="7"/>
        <v/>
      </c>
      <c r="E229" s="142" t="str">
        <f t="shared" ca="1" si="5"/>
        <v/>
      </c>
      <c r="F229" s="142">
        <f t="shared" ca="1" si="6"/>
        <v>0</v>
      </c>
    </row>
    <row r="230" spans="1:7" x14ac:dyDescent="0.35">
      <c r="B230" s="227">
        <f>IF(Exploitation!C91="Liquide",Exploitation!B91,0)</f>
        <v>0</v>
      </c>
      <c r="C230" s="142">
        <f t="shared" si="4"/>
        <v>230</v>
      </c>
      <c r="D230" s="228" t="str">
        <f t="shared" ca="1" si="7"/>
        <v/>
      </c>
      <c r="E230" s="142" t="str">
        <f t="shared" ca="1" si="5"/>
        <v/>
      </c>
      <c r="F230" s="142">
        <f t="shared" ca="1" si="6"/>
        <v>0</v>
      </c>
    </row>
    <row r="231" spans="1:7" x14ac:dyDescent="0.35">
      <c r="B231" s="227">
        <f>IF(Exploitation!C92="Liquide",Exploitation!B92,0)</f>
        <v>0</v>
      </c>
      <c r="C231" s="142">
        <f t="shared" si="4"/>
        <v>231</v>
      </c>
      <c r="D231" s="228" t="str">
        <f t="shared" ca="1" si="7"/>
        <v/>
      </c>
      <c r="E231" s="142" t="str">
        <f t="shared" ca="1" si="5"/>
        <v/>
      </c>
      <c r="F231" s="142">
        <f t="shared" ca="1" si="6"/>
        <v>0</v>
      </c>
    </row>
    <row r="232" spans="1:7" x14ac:dyDescent="0.35">
      <c r="A232" s="132" t="s">
        <v>417</v>
      </c>
      <c r="E232" s="50" t="s">
        <v>567</v>
      </c>
      <c r="F232" s="142">
        <f ca="1">SUM(F221:F231)</f>
        <v>0</v>
      </c>
    </row>
    <row r="233" spans="1:7" x14ac:dyDescent="0.35">
      <c r="A233" s="132" t="s">
        <v>417</v>
      </c>
      <c r="E233" s="51" t="s">
        <v>568</v>
      </c>
      <c r="F233" s="51" t="str">
        <f ca="1">"'Données d''entrée'!D"&amp; $E$218&amp;":D" &amp; $E$218+IF(F232=0,0,F232-1)</f>
        <v>'Données d''entrée'!D221:D221</v>
      </c>
    </row>
    <row r="234" spans="1:7" x14ac:dyDescent="0.35">
      <c r="A234" s="132" t="s">
        <v>417</v>
      </c>
      <c r="D234"/>
      <c r="E234"/>
      <c r="F234"/>
      <c r="G234"/>
    </row>
    <row r="235" spans="1:7" x14ac:dyDescent="0.35">
      <c r="A235" s="132" t="s">
        <v>417</v>
      </c>
      <c r="D235"/>
      <c r="E235"/>
      <c r="F235"/>
      <c r="G235"/>
    </row>
    <row r="236" spans="1:7" x14ac:dyDescent="0.35">
      <c r="A236" s="132" t="s">
        <v>417</v>
      </c>
    </row>
    <row r="237" spans="1:7" x14ac:dyDescent="0.35">
      <c r="A237" s="132" t="s">
        <v>417</v>
      </c>
    </row>
    <row r="238" spans="1:7" x14ac:dyDescent="0.35">
      <c r="A238" s="132" t="s">
        <v>417</v>
      </c>
    </row>
    <row r="239" spans="1:7" x14ac:dyDescent="0.35">
      <c r="A239" s="132" t="s">
        <v>417</v>
      </c>
    </row>
    <row r="240" spans="1:7" x14ac:dyDescent="0.35">
      <c r="A240" s="132" t="s">
        <v>417</v>
      </c>
    </row>
    <row r="241" spans="1:6" x14ac:dyDescent="0.35">
      <c r="A241" s="132" t="s">
        <v>417</v>
      </c>
    </row>
    <row r="243" spans="1:6" s="202" customFormat="1" x14ac:dyDescent="0.35">
      <c r="A243" s="201" t="s">
        <v>551</v>
      </c>
    </row>
    <row r="244" spans="1:6" x14ac:dyDescent="0.35">
      <c r="E244" s="51" t="s">
        <v>671</v>
      </c>
    </row>
    <row r="245" spans="1:6" x14ac:dyDescent="0.35">
      <c r="A245" s="51" t="s">
        <v>583</v>
      </c>
      <c r="C245" s="44" t="s">
        <v>575</v>
      </c>
      <c r="E245" s="51">
        <f>ROW(D248)</f>
        <v>248</v>
      </c>
    </row>
    <row r="247" spans="1:6" x14ac:dyDescent="0.35">
      <c r="B247" s="207" t="s">
        <v>407</v>
      </c>
      <c r="C247" s="207" t="s">
        <v>409</v>
      </c>
      <c r="D247" s="207" t="s">
        <v>410</v>
      </c>
      <c r="E247" s="207" t="s">
        <v>408</v>
      </c>
      <c r="F247" s="207" t="s">
        <v>566</v>
      </c>
    </row>
    <row r="248" spans="1:6" x14ac:dyDescent="0.35">
      <c r="B248" s="227">
        <f>IF(Exploitation!F50="OUI",$C$245,0)</f>
        <v>0</v>
      </c>
      <c r="C248" s="142">
        <f t="shared" ref="C248:C249" si="8">ROW(B248)</f>
        <v>248</v>
      </c>
      <c r="D248" s="142" t="str">
        <f>IF(B248&lt;&gt;0,B248,IF(B249&lt;&gt;0,B249,IF(B250&lt;&gt;0,B250,IF(B251&lt;&gt;0,B251,IF(B252&lt;&gt;0,B252,IF(B253&lt;&gt;0,B253,IF(B254&lt;&gt;0,B254,IF(B255&lt;&gt;0,B255,IF(B256&lt;&gt;0,B256,IF(B257&lt;&gt;0,B257,IF(B258&lt;&gt;0,B258,"")))))))))))</f>
        <v/>
      </c>
      <c r="E248" s="142" t="str">
        <f>IF(ISERROR(VLOOKUP(D248,$B$248:$C$258,2,FALSE)),"",VLOOKUP(D248,$B$248:$C$258,2,FALSE))</f>
        <v/>
      </c>
      <c r="F248" s="142">
        <f>IF(D248="",0,1)</f>
        <v>0</v>
      </c>
    </row>
    <row r="249" spans="1:6" x14ac:dyDescent="0.35">
      <c r="B249" s="227">
        <f>IF(Exploitation!C80="Solide",Exploitation!B80,0)</f>
        <v>0</v>
      </c>
      <c r="C249" s="142">
        <f t="shared" si="8"/>
        <v>249</v>
      </c>
      <c r="D249" s="228" t="str">
        <f ca="1">IF(ISERROR(IF(INDIRECT("B"&amp;(E248+1))&lt;&gt;0,INDIRECT("B"&amp;(E248+1)),IF(INDIRECT("B"&amp;(E248+2))&lt;&gt;0,INDIRECT("B"&amp;(E248+2)),IF(INDIRECT("B"&amp;(E248+3))&lt;&gt;0,INDIRECT("B"&amp;(E248+3)),IF(INDIRECT("B"&amp;(E248+4))&lt;&gt;0,INDIRECT("B"&amp;(E248+4)),IF(INDIRECT("B"&amp;(E248+5))&lt;&gt;0,INDIRECT("B"&amp;(E248+5)),IF(INDIRECT("B"&amp;(E248+6))&lt;&gt;0,INDIRECT("B"&amp;(E248+6)),IF(INDIRECT("B"&amp;(E248+7))&lt;&gt;0,INDIRECT("B"&amp;(E248+7)),IF(INDIRECT("B"&amp;(E248+8))&lt;&gt;0,INDIRECT("B"&amp;(E248+8)),IF(INDIRECT("B"&amp;(E248+9))&lt;&gt;0,INDIRECT("B"&amp;(E248+9)),"")))))))))),"",IF(INDIRECT("B"&amp;(E248+1))&lt;&gt;0,INDIRECT("B"&amp;(E248+1)),IF(INDIRECT("B"&amp;(E248+2))&lt;&gt;0,INDIRECT("B"&amp;(E248+2)),IF(INDIRECT("B"&amp;(E248+3))&lt;&gt;0,INDIRECT("B"&amp;(E248+3)),IF(INDIRECT("B"&amp;(E248+4))&lt;&gt;0,INDIRECT("B"&amp;(E248+4)),IF(INDIRECT("B"&amp;(E248+5))&lt;&gt;0,INDIRECT("B"&amp;(E248+5)),IF(INDIRECT("B"&amp;(E248+6))&lt;&gt;0,INDIRECT("B"&amp;(E248+6)),IF(INDIRECT("B"&amp;(E248+7))&lt;&gt;0,INDIRECT("B"&amp;(E248+7)),IF(INDIRECT("B"&amp;(E248+8))&lt;&gt;0,INDIRECT("B"&amp;(E248+8)),IF(INDIRECT("B"&amp;(E248+9))&lt;&gt;0,INDIRECT("B"&amp;(E248+9)),""))))))))))</f>
        <v/>
      </c>
      <c r="E249" s="142" t="str">
        <f ca="1">IF(ISERROR(VLOOKUP(D249,$B$248:$C$258,2,FALSE)),"",VLOOKUP(D249,$B$248:$C$258,2,FALSE))</f>
        <v/>
      </c>
      <c r="F249" s="142">
        <f t="shared" ref="F249:F258" ca="1" si="9">IF(D249="",0,1)</f>
        <v>0</v>
      </c>
    </row>
    <row r="250" spans="1:6" x14ac:dyDescent="0.35">
      <c r="B250" s="227">
        <f>IF(Exploitation!C81="Solide",Exploitation!B81,0)</f>
        <v>0</v>
      </c>
      <c r="C250" s="142">
        <f t="shared" ref="C250:C258" si="10">ROW(B250)</f>
        <v>250</v>
      </c>
      <c r="D250" s="228" t="str">
        <f t="shared" ref="D250:D258" ca="1" si="11">IF(ISERROR(IF(INDIRECT("B"&amp;(E249+1))&lt;&gt;0,INDIRECT("B"&amp;(E249+1)),IF(INDIRECT("B"&amp;(E249+2))&lt;&gt;0,INDIRECT("B"&amp;(E249+2)),IF(INDIRECT("B"&amp;(E249+3))&lt;&gt;0,INDIRECT("B"&amp;(E249+3)),IF(INDIRECT("B"&amp;(E249+4))&lt;&gt;0,INDIRECT("B"&amp;(E249+4)),IF(INDIRECT("B"&amp;(E249+5))&lt;&gt;0,INDIRECT("B"&amp;(E249+5)),IF(INDIRECT("B"&amp;(E249+6))&lt;&gt;0,INDIRECT("B"&amp;(E249+6)),IF(INDIRECT("B"&amp;(E249+7))&lt;&gt;0,INDIRECT("B"&amp;(E249+7)),IF(INDIRECT("B"&amp;(E249+8))&lt;&gt;0,INDIRECT("B"&amp;(E249+8)),IF(INDIRECT("B"&amp;(E249+9))&lt;&gt;0,INDIRECT("B"&amp;(E249+9)),"")))))))))),"",IF(INDIRECT("B"&amp;(E249+1))&lt;&gt;0,INDIRECT("B"&amp;(E249+1)),IF(INDIRECT("B"&amp;(E249+2))&lt;&gt;0,INDIRECT("B"&amp;(E249+2)),IF(INDIRECT("B"&amp;(E249+3))&lt;&gt;0,INDIRECT("B"&amp;(E249+3)),IF(INDIRECT("B"&amp;(E249+4))&lt;&gt;0,INDIRECT("B"&amp;(E249+4)),IF(INDIRECT("B"&amp;(E249+5))&lt;&gt;0,INDIRECT("B"&amp;(E249+5)),IF(INDIRECT("B"&amp;(E249+6))&lt;&gt;0,INDIRECT("B"&amp;(E249+6)),IF(INDIRECT("B"&amp;(E249+7))&lt;&gt;0,INDIRECT("B"&amp;(E249+7)),IF(INDIRECT("B"&amp;(E249+8))&lt;&gt;0,INDIRECT("B"&amp;(E249+8)),IF(INDIRECT("B"&amp;(E249+9))&lt;&gt;0,INDIRECT("B"&amp;(E249+9)),""))))))))))</f>
        <v/>
      </c>
      <c r="E250" s="142" t="str">
        <f t="shared" ref="E250:E258" ca="1" si="12">IF(ISERROR(VLOOKUP(D250,$B$248:$C$258,2,FALSE)),"",VLOOKUP(D250,$B$248:$C$258,2,FALSE))</f>
        <v/>
      </c>
      <c r="F250" s="142">
        <f t="shared" ca="1" si="9"/>
        <v>0</v>
      </c>
    </row>
    <row r="251" spans="1:6" x14ac:dyDescent="0.35">
      <c r="B251" s="227">
        <f>IF(Exploitation!C82="Solide",Exploitation!B82,0)</f>
        <v>0</v>
      </c>
      <c r="C251" s="142">
        <f t="shared" si="10"/>
        <v>251</v>
      </c>
      <c r="D251" s="228" t="str">
        <f t="shared" ca="1" si="11"/>
        <v/>
      </c>
      <c r="E251" s="142" t="str">
        <f t="shared" ca="1" si="12"/>
        <v/>
      </c>
      <c r="F251" s="142">
        <f t="shared" ca="1" si="9"/>
        <v>0</v>
      </c>
    </row>
    <row r="252" spans="1:6" x14ac:dyDescent="0.35">
      <c r="B252" s="227">
        <f>IF(Exploitation!C83="Solide",Exploitation!B83,0)</f>
        <v>0</v>
      </c>
      <c r="C252" s="142">
        <f t="shared" si="10"/>
        <v>252</v>
      </c>
      <c r="D252" s="228" t="str">
        <f t="shared" ca="1" si="11"/>
        <v/>
      </c>
      <c r="E252" s="142" t="str">
        <f t="shared" ca="1" si="12"/>
        <v/>
      </c>
      <c r="F252" s="142">
        <f t="shared" ca="1" si="9"/>
        <v>0</v>
      </c>
    </row>
    <row r="253" spans="1:6" x14ac:dyDescent="0.35">
      <c r="B253" s="227">
        <f>IF(Exploitation!C84="Solide",Exploitation!B84,0)</f>
        <v>0</v>
      </c>
      <c r="C253" s="142">
        <f t="shared" si="10"/>
        <v>253</v>
      </c>
      <c r="D253" s="228" t="str">
        <f t="shared" ca="1" si="11"/>
        <v/>
      </c>
      <c r="E253" s="142" t="str">
        <f t="shared" ca="1" si="12"/>
        <v/>
      </c>
      <c r="F253" s="142">
        <f t="shared" ca="1" si="9"/>
        <v>0</v>
      </c>
    </row>
    <row r="254" spans="1:6" x14ac:dyDescent="0.35">
      <c r="B254" s="227">
        <f>IF(Exploitation!C88="Solide",Exploitation!B88,0)</f>
        <v>0</v>
      </c>
      <c r="C254" s="142">
        <f t="shared" si="10"/>
        <v>254</v>
      </c>
      <c r="D254" s="228" t="str">
        <f t="shared" ca="1" si="11"/>
        <v/>
      </c>
      <c r="E254" s="142" t="str">
        <f t="shared" ca="1" si="12"/>
        <v/>
      </c>
      <c r="F254" s="142">
        <f t="shared" ca="1" si="9"/>
        <v>0</v>
      </c>
    </row>
    <row r="255" spans="1:6" x14ac:dyDescent="0.35">
      <c r="B255" s="227">
        <f>IF(Exploitation!C89="Solide",Exploitation!B89,0)</f>
        <v>0</v>
      </c>
      <c r="C255" s="142">
        <f t="shared" si="10"/>
        <v>255</v>
      </c>
      <c r="D255" s="228" t="str">
        <f t="shared" ca="1" si="11"/>
        <v/>
      </c>
      <c r="E255" s="142" t="str">
        <f t="shared" ca="1" si="12"/>
        <v/>
      </c>
      <c r="F255" s="142">
        <f t="shared" ca="1" si="9"/>
        <v>0</v>
      </c>
    </row>
    <row r="256" spans="1:6" x14ac:dyDescent="0.35">
      <c r="B256" s="227">
        <f>IF(Exploitation!C90="Solide",Exploitation!B90,0)</f>
        <v>0</v>
      </c>
      <c r="C256" s="142">
        <f t="shared" si="10"/>
        <v>256</v>
      </c>
      <c r="D256" s="228" t="str">
        <f t="shared" ca="1" si="11"/>
        <v/>
      </c>
      <c r="E256" s="142" t="str">
        <f t="shared" ca="1" si="12"/>
        <v/>
      </c>
      <c r="F256" s="142">
        <f t="shared" ca="1" si="9"/>
        <v>0</v>
      </c>
    </row>
    <row r="257" spans="1:6" x14ac:dyDescent="0.35">
      <c r="B257" s="227">
        <f>IF(Exploitation!C91="Solide",Exploitation!B91,0)</f>
        <v>0</v>
      </c>
      <c r="C257" s="142">
        <f t="shared" si="10"/>
        <v>257</v>
      </c>
      <c r="D257" s="228" t="str">
        <f t="shared" ca="1" si="11"/>
        <v/>
      </c>
      <c r="E257" s="142" t="str">
        <f t="shared" ca="1" si="12"/>
        <v/>
      </c>
      <c r="F257" s="142">
        <f t="shared" ca="1" si="9"/>
        <v>0</v>
      </c>
    </row>
    <row r="258" spans="1:6" x14ac:dyDescent="0.35">
      <c r="B258" s="227">
        <f>IF(Exploitation!C92="Solide",Exploitation!B92,0)</f>
        <v>0</v>
      </c>
      <c r="C258" s="142">
        <f t="shared" si="10"/>
        <v>258</v>
      </c>
      <c r="D258" s="228" t="str">
        <f t="shared" ca="1" si="11"/>
        <v/>
      </c>
      <c r="E258" s="142" t="str">
        <f t="shared" ca="1" si="12"/>
        <v/>
      </c>
      <c r="F258" s="142">
        <f t="shared" ca="1" si="9"/>
        <v>0</v>
      </c>
    </row>
    <row r="259" spans="1:6" x14ac:dyDescent="0.35">
      <c r="A259" s="132" t="s">
        <v>570</v>
      </c>
      <c r="E259" s="50" t="s">
        <v>567</v>
      </c>
      <c r="F259" s="142">
        <f ca="1">SUM(F248:F258)</f>
        <v>0</v>
      </c>
    </row>
    <row r="260" spans="1:6" x14ac:dyDescent="0.35">
      <c r="A260" s="132" t="s">
        <v>570</v>
      </c>
      <c r="E260" s="51" t="s">
        <v>568</v>
      </c>
      <c r="F260" s="51" t="str">
        <f ca="1">"'Données d''entrée'!D"&amp;$E$245&amp;":D" &amp; $E$245+IF(F259=0,0,F259-1)</f>
        <v>'Données d''entrée'!D248:D248</v>
      </c>
    </row>
    <row r="261" spans="1:6" x14ac:dyDescent="0.35">
      <c r="A261" s="132" t="s">
        <v>570</v>
      </c>
    </row>
    <row r="262" spans="1:6" x14ac:dyDescent="0.35">
      <c r="A262" s="132" t="s">
        <v>570</v>
      </c>
    </row>
    <row r="263" spans="1:6" x14ac:dyDescent="0.35">
      <c r="A263" s="132" t="s">
        <v>570</v>
      </c>
    </row>
    <row r="264" spans="1:6" x14ac:dyDescent="0.35">
      <c r="A264" s="132" t="s">
        <v>570</v>
      </c>
    </row>
    <row r="265" spans="1:6" x14ac:dyDescent="0.35">
      <c r="A265" s="132" t="s">
        <v>570</v>
      </c>
    </row>
    <row r="266" spans="1:6" x14ac:dyDescent="0.35">
      <c r="A266" s="132" t="s">
        <v>570</v>
      </c>
    </row>
    <row r="267" spans="1:6" x14ac:dyDescent="0.35">
      <c r="A267" s="132" t="s">
        <v>570</v>
      </c>
    </row>
    <row r="268" spans="1:6" x14ac:dyDescent="0.35">
      <c r="A268" s="132" t="s">
        <v>570</v>
      </c>
    </row>
    <row r="270" spans="1:6" s="202" customFormat="1" x14ac:dyDescent="0.35">
      <c r="A270" s="201" t="s">
        <v>552</v>
      </c>
    </row>
    <row r="272" spans="1:6" x14ac:dyDescent="0.35">
      <c r="B272" s="207" t="s">
        <v>407</v>
      </c>
      <c r="C272" s="207" t="s">
        <v>409</v>
      </c>
      <c r="D272" s="207" t="s">
        <v>410</v>
      </c>
      <c r="E272" s="207" t="s">
        <v>408</v>
      </c>
    </row>
    <row r="273" spans="1:5" x14ac:dyDescent="0.35">
      <c r="B273" s="227">
        <f>IF(Exploitation!C88="Liquide",Exploitation!B88,0)</f>
        <v>0</v>
      </c>
      <c r="C273" s="142">
        <f>ROW(B273)</f>
        <v>273</v>
      </c>
      <c r="D273" s="142" t="str">
        <f>IF(B273&lt;&gt;0,B273,IF(B274&lt;&gt;0,B274,IF(B275&lt;&gt;0,B275,IF(B276&lt;&gt;0,B276,IF(B277&lt;&gt;0,B277,"")))))</f>
        <v/>
      </c>
      <c r="E273" s="142" t="str">
        <f>IF(ISERROR(VLOOKUP(D273,$B$273:$C$277,2,FALSE)),"",VLOOKUP(D273,$B$273:$C$277,2,FALSE))</f>
        <v/>
      </c>
    </row>
    <row r="274" spans="1:5" x14ac:dyDescent="0.35">
      <c r="B274" s="227">
        <f>IF(Exploitation!C89="Liquide",Exploitation!B89,0)</f>
        <v>0</v>
      </c>
      <c r="C274" s="142">
        <f t="shared" ref="C274:C277" si="13">ROW(B274)</f>
        <v>274</v>
      </c>
      <c r="D274" s="228" t="str">
        <f ca="1">IF(ISERROR(IF(INDIRECT("B"&amp;(E273+1))&lt;&gt;0,INDIRECT("B"&amp;(E273+1)),IF(INDIRECT("B"&amp;(E273+2))&lt;&gt;0,INDIRECT("B"&amp;(E273+2)),IF(INDIRECT("B"&amp;(E273+3))&lt;&gt;0,INDIRECT("B"&amp;(E273+3)),IF(INDIRECT("B"&amp;(E273+4))&lt;&gt;0,INDIRECT("B"&amp;(E273+4)),""))))),"",IF(INDIRECT("B"&amp;(E273+1))&lt;&gt;0,INDIRECT("B"&amp;(E273+1)),IF(INDIRECT("B"&amp;(E273+2))&lt;&gt;0,INDIRECT("B"&amp;(E273+2)),IF(INDIRECT("B"&amp;(E273+3))&lt;&gt;0,INDIRECT("B"&amp;(E273+3)),IF(INDIRECT("B"&amp;(E273+4))&lt;&gt;0,INDIRECT("B"&amp;(E273+4)),"")))))</f>
        <v/>
      </c>
      <c r="E274" s="142" t="str">
        <f t="shared" ref="E274:E277" ca="1" si="14">IF(ISERROR(VLOOKUP(D274,$B$273:$C$277,2,FALSE)),"",VLOOKUP(D274,$B$273:$C$277,2,FALSE))</f>
        <v/>
      </c>
    </row>
    <row r="275" spans="1:5" x14ac:dyDescent="0.35">
      <c r="B275" s="227">
        <f>IF(Exploitation!C90="Liquide",Exploitation!B90,0)</f>
        <v>0</v>
      </c>
      <c r="C275" s="142">
        <f t="shared" si="13"/>
        <v>275</v>
      </c>
      <c r="D275" s="228" t="str">
        <f t="shared" ref="D275:D276" ca="1" si="15">IF(ISERROR(IF(INDIRECT("B"&amp;(E274+1))&lt;&gt;0,INDIRECT("B"&amp;(E274+1)),IF(INDIRECT("B"&amp;(E274+2))&lt;&gt;0,INDIRECT("B"&amp;(E274+2)),IF(INDIRECT("B"&amp;(E274+3))&lt;&gt;0,INDIRECT("B"&amp;(E274+3)),IF(INDIRECT("B"&amp;(E274+4))&lt;&gt;0,INDIRECT("B"&amp;(E274+4)),""))))),"",IF(INDIRECT("B"&amp;(E274+1))&lt;&gt;0,INDIRECT("B"&amp;(E274+1)),IF(INDIRECT("B"&amp;(E274+2))&lt;&gt;0,INDIRECT("B"&amp;(E274+2)),IF(INDIRECT("B"&amp;(E274+3))&lt;&gt;0,INDIRECT("B"&amp;(E274+3)),IF(INDIRECT("B"&amp;(E274+4))&lt;&gt;0,INDIRECT("B"&amp;(E274+4)),"")))))</f>
        <v/>
      </c>
      <c r="E275" s="142" t="str">
        <f t="shared" ca="1" si="14"/>
        <v/>
      </c>
    </row>
    <row r="276" spans="1:5" x14ac:dyDescent="0.35">
      <c r="B276" s="227">
        <f>IF(Exploitation!C91="Liquide",Exploitation!B91,0)</f>
        <v>0</v>
      </c>
      <c r="C276" s="142">
        <f t="shared" si="13"/>
        <v>276</v>
      </c>
      <c r="D276" s="228" t="str">
        <f t="shared" ca="1" si="15"/>
        <v/>
      </c>
      <c r="E276" s="142" t="str">
        <f t="shared" ca="1" si="14"/>
        <v/>
      </c>
    </row>
    <row r="277" spans="1:5" x14ac:dyDescent="0.35">
      <c r="B277" s="227">
        <f>IF(Exploitation!C92="Liquide",Exploitation!B92,0)</f>
        <v>0</v>
      </c>
      <c r="C277" s="142">
        <f t="shared" si="13"/>
        <v>277</v>
      </c>
      <c r="D277" s="228" t="str">
        <f ca="1">IF(ISERROR(IF(INDIRECT("B"&amp;(E276+1))&lt;&gt;0,INDIRECT("B"&amp;(E276+1)),IF(INDIRECT("B"&amp;(E276+2))&lt;&gt;0,INDIRECT("B"&amp;(E276+2)),IF(INDIRECT("B"&amp;(E276+3))&lt;&gt;0,INDIRECT("B"&amp;(E276+3)),IF(INDIRECT("B"&amp;(E276+4))&lt;&gt;0,INDIRECT("B"&amp;(E276+4)),""))))),"",IF(INDIRECT("B"&amp;(E276+1))&lt;&gt;0,INDIRECT("B"&amp;(E276+1)),IF(INDIRECT("B"&amp;(E276+2))&lt;&gt;0,INDIRECT("B"&amp;(E276+2)),IF(INDIRECT("B"&amp;(E276+3))&lt;&gt;0,INDIRECT("B"&amp;(E276+3)),IF(INDIRECT("B"&amp;(E276+4))&lt;&gt;0,INDIRECT("B"&amp;(E276+4)),"")))))</f>
        <v/>
      </c>
      <c r="E277" s="142" t="str">
        <f t="shared" ca="1" si="14"/>
        <v/>
      </c>
    </row>
    <row r="278" spans="1:5" x14ac:dyDescent="0.35">
      <c r="A278" s="132" t="s">
        <v>417</v>
      </c>
    </row>
    <row r="279" spans="1:5" x14ac:dyDescent="0.35">
      <c r="A279" s="132" t="s">
        <v>417</v>
      </c>
    </row>
    <row r="280" spans="1:5" x14ac:dyDescent="0.35">
      <c r="A280" s="132" t="s">
        <v>417</v>
      </c>
    </row>
    <row r="281" spans="1:5" x14ac:dyDescent="0.35">
      <c r="A281" s="132" t="s">
        <v>417</v>
      </c>
    </row>
    <row r="282" spans="1:5" x14ac:dyDescent="0.35">
      <c r="A282" s="132" t="s">
        <v>417</v>
      </c>
    </row>
    <row r="284" spans="1:5" s="202" customFormat="1" x14ac:dyDescent="0.35">
      <c r="A284" s="201" t="s">
        <v>553</v>
      </c>
    </row>
    <row r="286" spans="1:5" x14ac:dyDescent="0.35">
      <c r="B286" s="207" t="s">
        <v>407</v>
      </c>
      <c r="C286" s="207" t="s">
        <v>409</v>
      </c>
      <c r="D286" s="207" t="s">
        <v>410</v>
      </c>
      <c r="E286" s="207" t="s">
        <v>408</v>
      </c>
    </row>
    <row r="287" spans="1:5" x14ac:dyDescent="0.35">
      <c r="B287" s="227">
        <f>IF(Exploitation!C88="Solide",Exploitation!B88,0)</f>
        <v>0</v>
      </c>
      <c r="C287" s="142">
        <f>ROW(B287)</f>
        <v>287</v>
      </c>
      <c r="D287" s="142" t="str">
        <f>IF(B287&lt;&gt;0,B287,IF(B288&lt;&gt;0,B288,IF(B289&lt;&gt;0,B289,IF(B290&lt;&gt;0,B290,IF(B291&lt;&gt;0,B291,"")))))</f>
        <v/>
      </c>
      <c r="E287" s="142" t="str">
        <f>IF(ISERROR(VLOOKUP(D287,$B$287:$C$291,2,FALSE)),"",VLOOKUP(D287,$B$287:$C$291,2,FALSE))</f>
        <v/>
      </c>
    </row>
    <row r="288" spans="1:5" x14ac:dyDescent="0.35">
      <c r="B288" s="227">
        <f>IF(Exploitation!C89="Solide",Exploitation!B89,0)</f>
        <v>0</v>
      </c>
      <c r="C288" s="142">
        <f t="shared" ref="C288:C291" si="16">ROW(B288)</f>
        <v>288</v>
      </c>
      <c r="D288" s="228" t="str">
        <f ca="1">IF(ISERROR(IF(INDIRECT("B"&amp;(E287+1))&lt;&gt;0,INDIRECT("B"&amp;(E287+1)),IF(INDIRECT("B"&amp;(E287+2))&lt;&gt;0,INDIRECT("B"&amp;(E287+2)),IF(INDIRECT("B"&amp;(E287+3))&lt;&gt;0,INDIRECT("B"&amp;(E287+3)),IF(INDIRECT("B"&amp;(E287+4))&lt;&gt;0,INDIRECT("B"&amp;(E287+4)),""))))),"",IF(INDIRECT("B"&amp;(E287+1))&lt;&gt;0,INDIRECT("B"&amp;(E287+1)),IF(INDIRECT("B"&amp;(E287+2))&lt;&gt;0,INDIRECT("B"&amp;(E287+2)),IF(INDIRECT("B"&amp;(E287+3))&lt;&gt;0,INDIRECT("B"&amp;(E287+3)),IF(INDIRECT("B"&amp;(E287+4))&lt;&gt;0,INDIRECT("B"&amp;(E287+4)),"")))))</f>
        <v/>
      </c>
      <c r="E288" s="142" t="str">
        <f t="shared" ref="E288:E291" ca="1" si="17">IF(ISERROR(VLOOKUP(D288,$B$287:$C$291,2,FALSE)),"",VLOOKUP(D288,$B$287:$C$291,2,FALSE))</f>
        <v/>
      </c>
    </row>
    <row r="289" spans="1:5" x14ac:dyDescent="0.35">
      <c r="B289" s="227">
        <f>IF(Exploitation!C90="Solide",Exploitation!B90,0)</f>
        <v>0</v>
      </c>
      <c r="C289" s="142">
        <f t="shared" si="16"/>
        <v>289</v>
      </c>
      <c r="D289" s="228" t="str">
        <f t="shared" ref="D289:D291" ca="1" si="18">IF(ISERROR(IF(INDIRECT("B"&amp;(E288+1))&lt;&gt;0,INDIRECT("B"&amp;(E288+1)),IF(INDIRECT("B"&amp;(E288+2))&lt;&gt;0,INDIRECT("B"&amp;(E288+2)),IF(INDIRECT("B"&amp;(E288+3))&lt;&gt;0,INDIRECT("B"&amp;(E288+3)),IF(INDIRECT("B"&amp;(E288+4))&lt;&gt;0,INDIRECT("B"&amp;(E288+4)),""))))),"",IF(INDIRECT("B"&amp;(E288+1))&lt;&gt;0,INDIRECT("B"&amp;(E288+1)),IF(INDIRECT("B"&amp;(E288+2))&lt;&gt;0,INDIRECT("B"&amp;(E288+2)),IF(INDIRECT("B"&amp;(E288+3))&lt;&gt;0,INDIRECT("B"&amp;(E288+3)),IF(INDIRECT("B"&amp;(E288+4))&lt;&gt;0,INDIRECT("B"&amp;(E288+4)),"")))))</f>
        <v/>
      </c>
      <c r="E289" s="142" t="str">
        <f t="shared" ca="1" si="17"/>
        <v/>
      </c>
    </row>
    <row r="290" spans="1:5" x14ac:dyDescent="0.35">
      <c r="B290" s="227">
        <f>IF(Exploitation!C91="Solide",Exploitation!B91,0)</f>
        <v>0</v>
      </c>
      <c r="C290" s="142">
        <f t="shared" si="16"/>
        <v>290</v>
      </c>
      <c r="D290" s="228" t="str">
        <f t="shared" ca="1" si="18"/>
        <v/>
      </c>
      <c r="E290" s="142" t="str">
        <f t="shared" ca="1" si="17"/>
        <v/>
      </c>
    </row>
    <row r="291" spans="1:5" x14ac:dyDescent="0.35">
      <c r="B291" s="227">
        <f>IF(Exploitation!C92="Solide",Exploitation!B92,0)</f>
        <v>0</v>
      </c>
      <c r="C291" s="142">
        <f t="shared" si="16"/>
        <v>291</v>
      </c>
      <c r="D291" s="228" t="str">
        <f t="shared" ca="1" si="18"/>
        <v/>
      </c>
      <c r="E291" s="142" t="str">
        <f t="shared" ca="1" si="17"/>
        <v/>
      </c>
    </row>
    <row r="292" spans="1:5" x14ac:dyDescent="0.35">
      <c r="A292" s="132" t="s">
        <v>417</v>
      </c>
    </row>
    <row r="293" spans="1:5" x14ac:dyDescent="0.35">
      <c r="A293" s="132" t="s">
        <v>417</v>
      </c>
    </row>
    <row r="294" spans="1:5" x14ac:dyDescent="0.35">
      <c r="A294" s="132" t="s">
        <v>417</v>
      </c>
    </row>
    <row r="295" spans="1:5" x14ac:dyDescent="0.35">
      <c r="A295" s="132" t="s">
        <v>417</v>
      </c>
    </row>
    <row r="296" spans="1:5" x14ac:dyDescent="0.35">
      <c r="A296" s="132" t="s">
        <v>417</v>
      </c>
    </row>
    <row r="299" spans="1:5" s="202" customFormat="1" x14ac:dyDescent="0.35">
      <c r="A299" s="201" t="s">
        <v>413</v>
      </c>
    </row>
    <row r="301" spans="1:5" x14ac:dyDescent="0.35">
      <c r="B301" s="207" t="s">
        <v>414</v>
      </c>
    </row>
    <row r="302" spans="1:5" x14ac:dyDescent="0.35">
      <c r="B302" s="229" t="s">
        <v>415</v>
      </c>
    </row>
    <row r="303" spans="1:5" x14ac:dyDescent="0.35">
      <c r="B303" s="229" t="s">
        <v>416</v>
      </c>
    </row>
    <row r="306" spans="1:4" ht="26" x14ac:dyDescent="0.6">
      <c r="A306" s="490" t="s">
        <v>180</v>
      </c>
      <c r="B306" s="490"/>
      <c r="C306" s="490"/>
    </row>
    <row r="308" spans="1:4" s="202" customFormat="1" x14ac:dyDescent="0.35">
      <c r="A308" s="201" t="s">
        <v>181</v>
      </c>
    </row>
    <row r="311" spans="1:4" x14ac:dyDescent="0.35">
      <c r="B311" s="51" t="s">
        <v>778</v>
      </c>
      <c r="C311" s="230" t="s">
        <v>779</v>
      </c>
    </row>
    <row r="312" spans="1:4" x14ac:dyDescent="0.35">
      <c r="B312" s="232" t="s">
        <v>780</v>
      </c>
      <c r="C312" s="359">
        <f>1-16%</f>
        <v>0.84</v>
      </c>
      <c r="D312" s="51" t="s">
        <v>784</v>
      </c>
    </row>
    <row r="313" spans="1:4" x14ac:dyDescent="0.35">
      <c r="B313" s="232" t="s">
        <v>781</v>
      </c>
      <c r="C313" s="231">
        <v>1</v>
      </c>
    </row>
    <row r="318" spans="1:4" x14ac:dyDescent="0.35">
      <c r="C318" s="230" t="s">
        <v>185</v>
      </c>
    </row>
    <row r="319" spans="1:4" x14ac:dyDescent="0.35">
      <c r="B319" s="230" t="s">
        <v>60</v>
      </c>
      <c r="C319" s="231">
        <v>2</v>
      </c>
    </row>
    <row r="320" spans="1:4" x14ac:dyDescent="0.35">
      <c r="B320" s="230" t="s">
        <v>334</v>
      </c>
      <c r="C320" s="231">
        <v>3</v>
      </c>
    </row>
    <row r="321" spans="2:14" x14ac:dyDescent="0.35">
      <c r="B321" s="232" t="s">
        <v>335</v>
      </c>
      <c r="C321" s="231">
        <v>4</v>
      </c>
    </row>
    <row r="322" spans="2:14" x14ac:dyDescent="0.35">
      <c r="B322" s="232" t="s">
        <v>303</v>
      </c>
      <c r="C322" s="231">
        <v>5</v>
      </c>
    </row>
    <row r="323" spans="2:14" x14ac:dyDescent="0.35">
      <c r="B323" s="232" t="s">
        <v>703</v>
      </c>
      <c r="C323" s="231">
        <v>6</v>
      </c>
    </row>
    <row r="325" spans="2:14" x14ac:dyDescent="0.35">
      <c r="C325" s="230" t="s">
        <v>342</v>
      </c>
    </row>
    <row r="326" spans="2:14" x14ac:dyDescent="0.35">
      <c r="B326" s="232" t="s">
        <v>676</v>
      </c>
      <c r="C326" s="231">
        <v>0.7</v>
      </c>
    </row>
    <row r="327" spans="2:14" x14ac:dyDescent="0.35">
      <c r="B327" s="232" t="s">
        <v>677</v>
      </c>
      <c r="C327" s="231">
        <v>0.2</v>
      </c>
    </row>
    <row r="328" spans="2:14" x14ac:dyDescent="0.35">
      <c r="B328" s="232" t="s">
        <v>678</v>
      </c>
      <c r="C328" s="231">
        <v>0.2</v>
      </c>
    </row>
    <row r="329" spans="2:14" x14ac:dyDescent="0.35">
      <c r="B329" s="232" t="s">
        <v>679</v>
      </c>
      <c r="C329" s="231">
        <v>1</v>
      </c>
    </row>
    <row r="330" spans="2:14" x14ac:dyDescent="0.35">
      <c r="B330" s="232" t="s">
        <v>680</v>
      </c>
      <c r="C330" s="231">
        <v>1</v>
      </c>
      <c r="D330" s="342" t="s">
        <v>696</v>
      </c>
      <c r="E330" s="343">
        <v>1</v>
      </c>
      <c r="F330" s="343">
        <v>1</v>
      </c>
      <c r="G330" s="343">
        <v>0.6</v>
      </c>
      <c r="H330" s="343">
        <v>1</v>
      </c>
      <c r="I330" s="343">
        <v>1</v>
      </c>
      <c r="J330"/>
      <c r="K330"/>
      <c r="L330"/>
      <c r="M330"/>
      <c r="N330"/>
    </row>
    <row r="331" spans="2:14" x14ac:dyDescent="0.35">
      <c r="D331" s="209"/>
      <c r="E331" s="230" t="s">
        <v>60</v>
      </c>
      <c r="F331" s="230" t="s">
        <v>334</v>
      </c>
      <c r="G331" s="232" t="s">
        <v>335</v>
      </c>
      <c r="H331" s="230" t="s">
        <v>303</v>
      </c>
      <c r="I331" s="230" t="s">
        <v>703</v>
      </c>
      <c r="J331"/>
      <c r="K331"/>
      <c r="L331"/>
      <c r="M331"/>
      <c r="N331"/>
    </row>
    <row r="332" spans="2:14" ht="42" customHeight="1" x14ac:dyDescent="0.35">
      <c r="B332" s="233" t="s">
        <v>56</v>
      </c>
      <c r="C332" s="233" t="str">
        <f t="shared" ref="C332:C348" si="19">D97</f>
        <v>Stockage en préfosse sur toute la durée de présence des animaux</v>
      </c>
      <c r="D332" s="234" t="str">
        <f>CONCATENATE(B332,"_",C332)</f>
        <v>Caillebotis intégral_Stockage en préfosse sur toute la durée de présence des animaux</v>
      </c>
      <c r="E332" s="256">
        <v>1</v>
      </c>
      <c r="F332" s="359">
        <f t="shared" ref="F332:I348" si="20">$E332*F$330</f>
        <v>1</v>
      </c>
      <c r="G332" s="359">
        <f t="shared" si="20"/>
        <v>0.6</v>
      </c>
      <c r="H332" s="359">
        <f>$E332*H$330</f>
        <v>1</v>
      </c>
      <c r="I332" s="359">
        <f t="shared" ref="H332:I348" si="21">$E332*I$330</f>
        <v>1</v>
      </c>
      <c r="J332"/>
      <c r="K332"/>
      <c r="L332"/>
      <c r="M332"/>
      <c r="N332"/>
    </row>
    <row r="333" spans="2:14" ht="42" customHeight="1" x14ac:dyDescent="0.35">
      <c r="B333" s="233" t="s">
        <v>56</v>
      </c>
      <c r="C333" s="233" t="str">
        <f t="shared" si="19"/>
        <v>Stockage en préfosse - évacuation du lisier minimum tous les 15 jours</v>
      </c>
      <c r="D333" s="234" t="str">
        <f t="shared" ref="D333:D339" si="22">CONCATENATE(B333,"_",C333)</f>
        <v>Caillebotis intégral_Stockage en préfosse - évacuation du lisier minimum tous les 15 jours</v>
      </c>
      <c r="E333" s="256">
        <v>0.85</v>
      </c>
      <c r="F333" s="359">
        <f t="shared" si="20"/>
        <v>0.85</v>
      </c>
      <c r="G333" s="359">
        <f t="shared" si="20"/>
        <v>0.51</v>
      </c>
      <c r="H333" s="359">
        <f t="shared" si="21"/>
        <v>0.85</v>
      </c>
      <c r="I333" s="359">
        <f t="shared" si="21"/>
        <v>0.85</v>
      </c>
      <c r="J333"/>
      <c r="K333"/>
      <c r="L333"/>
      <c r="M333"/>
      <c r="N333"/>
    </row>
    <row r="334" spans="2:14" ht="51" customHeight="1" x14ac:dyDescent="0.35">
      <c r="B334" s="233" t="s">
        <v>56</v>
      </c>
      <c r="C334" s="233" t="str">
        <f t="shared" si="19"/>
        <v>Stockage en préfosse - évacuation du lisier minimum 2 fois par semaine</v>
      </c>
      <c r="D334" s="234" t="str">
        <f t="shared" si="22"/>
        <v>Caillebotis intégral_Stockage en préfosse - évacuation du lisier minimum 2 fois par semaine</v>
      </c>
      <c r="E334" s="256">
        <v>0.75</v>
      </c>
      <c r="F334" s="359">
        <f t="shared" si="20"/>
        <v>0.75</v>
      </c>
      <c r="G334" s="359">
        <f t="shared" si="20"/>
        <v>0.44999999999999996</v>
      </c>
      <c r="H334" s="359">
        <f t="shared" si="21"/>
        <v>0.75</v>
      </c>
      <c r="I334" s="359">
        <f t="shared" si="21"/>
        <v>0.75</v>
      </c>
      <c r="J334"/>
      <c r="K334"/>
      <c r="L334"/>
      <c r="M334"/>
      <c r="N334"/>
    </row>
    <row r="335" spans="2:14" ht="51" customHeight="1" x14ac:dyDescent="0.35">
      <c r="B335" s="233" t="s">
        <v>56</v>
      </c>
      <c r="C335" s="233" t="str">
        <f t="shared" si="19"/>
        <v>Evacuation mécanique avec racleurs en V</v>
      </c>
      <c r="D335" s="234" t="str">
        <f t="shared" si="22"/>
        <v>Caillebotis intégral_Evacuation mécanique avec racleurs en V</v>
      </c>
      <c r="E335" s="256">
        <v>0.55000000000000004</v>
      </c>
      <c r="F335" s="359">
        <f t="shared" si="20"/>
        <v>0.55000000000000004</v>
      </c>
      <c r="G335" s="359">
        <f t="shared" si="20"/>
        <v>0.33</v>
      </c>
      <c r="H335" s="359">
        <f t="shared" si="21"/>
        <v>0.55000000000000004</v>
      </c>
      <c r="I335" s="359">
        <f t="shared" si="21"/>
        <v>0.55000000000000004</v>
      </c>
      <c r="J335"/>
      <c r="K335"/>
      <c r="L335"/>
      <c r="M335"/>
      <c r="N335"/>
    </row>
    <row r="336" spans="2:14" ht="51" customHeight="1" x14ac:dyDescent="0.35">
      <c r="B336" s="233" t="s">
        <v>56</v>
      </c>
      <c r="C336" s="233" t="str">
        <f t="shared" si="19"/>
        <v>Evacuation par chasse avec la fraction liquide du lisier</v>
      </c>
      <c r="D336" s="234" t="str">
        <f t="shared" si="22"/>
        <v>Caillebotis intégral_Evacuation par chasse avec la fraction liquide du lisier</v>
      </c>
      <c r="E336" s="256">
        <v>0.75</v>
      </c>
      <c r="F336" s="359">
        <f t="shared" si="20"/>
        <v>0.75</v>
      </c>
      <c r="G336" s="359">
        <f t="shared" si="20"/>
        <v>0.44999999999999996</v>
      </c>
      <c r="H336" s="359">
        <f t="shared" si="21"/>
        <v>0.75</v>
      </c>
      <c r="I336" s="359">
        <f t="shared" si="21"/>
        <v>0.75</v>
      </c>
      <c r="J336"/>
      <c r="K336"/>
      <c r="L336"/>
      <c r="M336"/>
      <c r="N336"/>
    </row>
    <row r="337" spans="1:14" ht="51" customHeight="1" x14ac:dyDescent="0.35">
      <c r="B337" s="233" t="s">
        <v>56</v>
      </c>
      <c r="C337" s="233" t="str">
        <f t="shared" si="19"/>
        <v>Lisier flottant</v>
      </c>
      <c r="D337" s="234" t="str">
        <f t="shared" ref="D337:D338" si="23">CONCATENATE(B337,"_",C337)</f>
        <v>Caillebotis intégral_Lisier flottant</v>
      </c>
      <c r="E337" s="256">
        <v>0.8</v>
      </c>
      <c r="F337" s="359">
        <f t="shared" si="20"/>
        <v>0.8</v>
      </c>
      <c r="G337" s="359">
        <f t="shared" si="20"/>
        <v>0.48</v>
      </c>
      <c r="H337" s="359">
        <f t="shared" si="21"/>
        <v>0.8</v>
      </c>
      <c r="I337" s="359">
        <f t="shared" si="21"/>
        <v>0.8</v>
      </c>
      <c r="J337" s="12"/>
      <c r="K337" s="12"/>
      <c r="L337" s="12"/>
      <c r="M337" s="12"/>
      <c r="N337" s="12"/>
    </row>
    <row r="338" spans="1:14" ht="51" customHeight="1" x14ac:dyDescent="0.35">
      <c r="B338" s="233" t="s">
        <v>56</v>
      </c>
      <c r="C338" s="233" t="str">
        <f t="shared" si="19"/>
        <v>Acidification du lisier</v>
      </c>
      <c r="D338" s="234" t="str">
        <f t="shared" si="23"/>
        <v>Caillebotis intégral_Acidification du lisier</v>
      </c>
      <c r="E338" s="256">
        <v>0.4</v>
      </c>
      <c r="F338" s="359">
        <f t="shared" si="20"/>
        <v>0.4</v>
      </c>
      <c r="G338" s="359">
        <f t="shared" si="20"/>
        <v>0.24</v>
      </c>
      <c r="H338" s="359">
        <f t="shared" si="21"/>
        <v>0.4</v>
      </c>
      <c r="I338" s="359">
        <f t="shared" si="21"/>
        <v>0.4</v>
      </c>
      <c r="J338" s="12"/>
      <c r="K338" s="12"/>
      <c r="L338" s="12"/>
      <c r="M338" s="12"/>
      <c r="N338" s="12"/>
    </row>
    <row r="339" spans="1:14" ht="51" customHeight="1" x14ac:dyDescent="0.35">
      <c r="B339" s="233" t="s">
        <v>56</v>
      </c>
      <c r="C339" s="233" t="str">
        <f t="shared" si="19"/>
        <v>Balles flottantes dans le canal à effluents</v>
      </c>
      <c r="D339" s="234" t="str">
        <f t="shared" si="22"/>
        <v>Caillebotis intégral_Balles flottantes dans le canal à effluents</v>
      </c>
      <c r="E339" s="256">
        <v>0.75</v>
      </c>
      <c r="F339" s="359">
        <f t="shared" si="20"/>
        <v>0.75</v>
      </c>
      <c r="G339" s="359">
        <f t="shared" si="20"/>
        <v>0.44999999999999996</v>
      </c>
      <c r="H339" s="359">
        <f t="shared" si="21"/>
        <v>0.75</v>
      </c>
      <c r="I339" s="359">
        <f t="shared" si="21"/>
        <v>0.75</v>
      </c>
      <c r="J339"/>
      <c r="K339"/>
      <c r="L339"/>
      <c r="M339"/>
      <c r="N339"/>
    </row>
    <row r="340" spans="1:14" ht="43.5" customHeight="1" x14ac:dyDescent="0.35">
      <c r="B340" s="233" t="s">
        <v>57</v>
      </c>
      <c r="C340" s="233" t="str">
        <f t="shared" si="19"/>
        <v>Stockage en préfosse sur toute la durée de présence des animaux</v>
      </c>
      <c r="D340" s="234" t="str">
        <f t="shared" ref="D340:D347" si="24">CONCATENATE(B340,"_",C340)</f>
        <v>Caillebotis partiel_Stockage en préfosse sur toute la durée de présence des animaux</v>
      </c>
      <c r="E340" s="256">
        <v>1.25</v>
      </c>
      <c r="F340" s="359">
        <f t="shared" si="20"/>
        <v>1.25</v>
      </c>
      <c r="G340" s="359">
        <f t="shared" si="20"/>
        <v>0.75</v>
      </c>
      <c r="H340" s="359">
        <f t="shared" si="21"/>
        <v>1.25</v>
      </c>
      <c r="I340" s="359">
        <f t="shared" si="21"/>
        <v>1.25</v>
      </c>
      <c r="J340"/>
      <c r="K340"/>
      <c r="L340"/>
      <c r="M340"/>
      <c r="N340"/>
    </row>
    <row r="341" spans="1:14" ht="43.5" customHeight="1" x14ac:dyDescent="0.35">
      <c r="B341" s="233" t="s">
        <v>57</v>
      </c>
      <c r="C341" s="233" t="str">
        <f t="shared" si="19"/>
        <v>Stockage en préfosse - évacuation du lisier minimum tous les 15 jours</v>
      </c>
      <c r="D341" s="234" t="str">
        <f t="shared" si="24"/>
        <v>Caillebotis partiel_Stockage en préfosse - évacuation du lisier minimum tous les 15 jours</v>
      </c>
      <c r="E341" s="256">
        <v>1.1000000000000001</v>
      </c>
      <c r="F341" s="359">
        <f t="shared" si="20"/>
        <v>1.1000000000000001</v>
      </c>
      <c r="G341" s="359">
        <f t="shared" si="20"/>
        <v>0.66</v>
      </c>
      <c r="H341" s="359">
        <f t="shared" si="21"/>
        <v>1.1000000000000001</v>
      </c>
      <c r="I341" s="359">
        <f t="shared" si="21"/>
        <v>1.1000000000000001</v>
      </c>
      <c r="J341"/>
      <c r="K341"/>
      <c r="L341"/>
      <c r="M341"/>
      <c r="N341"/>
    </row>
    <row r="342" spans="1:14" ht="43.5" customHeight="1" x14ac:dyDescent="0.35">
      <c r="B342" s="233" t="s">
        <v>57</v>
      </c>
      <c r="C342" s="233" t="str">
        <f t="shared" si="19"/>
        <v>Stockage en préfosse - évacuation du lisier minimum 2 fois par semaine</v>
      </c>
      <c r="D342" s="234" t="str">
        <f t="shared" si="24"/>
        <v>Caillebotis partiel_Stockage en préfosse - évacuation du lisier minimum 2 fois par semaine</v>
      </c>
      <c r="E342" s="256">
        <v>1</v>
      </c>
      <c r="F342" s="359">
        <f t="shared" si="20"/>
        <v>1</v>
      </c>
      <c r="G342" s="359">
        <f t="shared" si="20"/>
        <v>0.6</v>
      </c>
      <c r="H342" s="359">
        <f t="shared" si="21"/>
        <v>1</v>
      </c>
      <c r="I342" s="359">
        <f t="shared" si="21"/>
        <v>1</v>
      </c>
      <c r="J342"/>
      <c r="K342"/>
      <c r="L342"/>
      <c r="M342"/>
      <c r="N342"/>
    </row>
    <row r="343" spans="1:14" ht="43.5" customHeight="1" x14ac:dyDescent="0.35">
      <c r="B343" s="233" t="s">
        <v>57</v>
      </c>
      <c r="C343" s="233" t="str">
        <f t="shared" si="19"/>
        <v>Evacuation mécanique avec racleurs en V</v>
      </c>
      <c r="D343" s="234" t="str">
        <f t="shared" si="24"/>
        <v>Caillebotis partiel_Evacuation mécanique avec racleurs en V</v>
      </c>
      <c r="E343" s="256">
        <v>0.8</v>
      </c>
      <c r="F343" s="359">
        <f t="shared" si="20"/>
        <v>0.8</v>
      </c>
      <c r="G343" s="359">
        <f t="shared" si="20"/>
        <v>0.48</v>
      </c>
      <c r="H343" s="359">
        <f t="shared" si="21"/>
        <v>0.8</v>
      </c>
      <c r="I343" s="359">
        <f t="shared" si="21"/>
        <v>0.8</v>
      </c>
      <c r="J343"/>
      <c r="K343"/>
      <c r="L343"/>
      <c r="M343"/>
      <c r="N343"/>
    </row>
    <row r="344" spans="1:14" ht="43.5" customHeight="1" x14ac:dyDescent="0.35">
      <c r="B344" s="233" t="s">
        <v>57</v>
      </c>
      <c r="C344" s="233" t="str">
        <f t="shared" si="19"/>
        <v>Evacuation par chasse avec la fraction liquide du lisier</v>
      </c>
      <c r="D344" s="234" t="str">
        <f t="shared" ref="D344:D346" si="25">CONCATENATE(B344,"_",C344)</f>
        <v>Caillebotis partiel_Evacuation par chasse avec la fraction liquide du lisier</v>
      </c>
      <c r="E344" s="256">
        <v>1</v>
      </c>
      <c r="F344" s="359">
        <f t="shared" si="20"/>
        <v>1</v>
      </c>
      <c r="G344" s="359">
        <f t="shared" si="20"/>
        <v>0.6</v>
      </c>
      <c r="H344" s="359">
        <f t="shared" si="20"/>
        <v>1</v>
      </c>
      <c r="I344" s="359">
        <f t="shared" si="20"/>
        <v>1</v>
      </c>
      <c r="J344" s="12"/>
      <c r="K344" s="12"/>
      <c r="L344" s="12"/>
      <c r="M344" s="12"/>
      <c r="N344" s="12"/>
    </row>
    <row r="345" spans="1:14" ht="43.5" customHeight="1" x14ac:dyDescent="0.35">
      <c r="B345" s="233" t="s">
        <v>57</v>
      </c>
      <c r="C345" s="233" t="str">
        <f t="shared" si="19"/>
        <v>Acidification du lisier</v>
      </c>
      <c r="D345" s="234" t="str">
        <f t="shared" si="25"/>
        <v>Caillebotis partiel_Acidification du lisier</v>
      </c>
      <c r="E345" s="256">
        <v>0.7</v>
      </c>
      <c r="F345" s="359">
        <f t="shared" si="20"/>
        <v>0.7</v>
      </c>
      <c r="G345" s="359">
        <f t="shared" si="20"/>
        <v>0.42</v>
      </c>
      <c r="H345" s="359">
        <f t="shared" si="20"/>
        <v>0.7</v>
      </c>
      <c r="I345" s="359">
        <f t="shared" si="20"/>
        <v>0.7</v>
      </c>
      <c r="J345" s="12"/>
      <c r="K345" s="12"/>
      <c r="L345" s="12"/>
      <c r="M345" s="12"/>
      <c r="N345" s="12"/>
    </row>
    <row r="346" spans="1:14" ht="43.5" customHeight="1" x14ac:dyDescent="0.35">
      <c r="B346" s="233" t="s">
        <v>57</v>
      </c>
      <c r="C346" s="233" t="str">
        <f t="shared" si="19"/>
        <v>Balles flottantes dans le canal à effluents</v>
      </c>
      <c r="D346" s="234" t="str">
        <f t="shared" si="25"/>
        <v>Caillebotis partiel_Balles flottantes dans le canal à effluents</v>
      </c>
      <c r="E346" s="256">
        <v>1</v>
      </c>
      <c r="F346" s="359">
        <f t="shared" si="20"/>
        <v>1</v>
      </c>
      <c r="G346" s="359">
        <f>$E346*G$330</f>
        <v>0.6</v>
      </c>
      <c r="H346" s="359">
        <f t="shared" si="21"/>
        <v>1</v>
      </c>
      <c r="I346" s="359">
        <f t="shared" si="21"/>
        <v>1</v>
      </c>
      <c r="J346"/>
      <c r="K346"/>
      <c r="L346"/>
      <c r="M346"/>
      <c r="N346"/>
    </row>
    <row r="347" spans="1:14" x14ac:dyDescent="0.35">
      <c r="B347" s="233" t="s">
        <v>58</v>
      </c>
      <c r="C347" s="233" t="str">
        <f t="shared" si="19"/>
        <v>Litière</v>
      </c>
      <c r="D347" s="235" t="str">
        <f t="shared" si="24"/>
        <v>Litière paille_Litière</v>
      </c>
      <c r="E347" s="256">
        <v>1</v>
      </c>
      <c r="F347" s="359">
        <f t="shared" si="20"/>
        <v>1</v>
      </c>
      <c r="G347" s="359">
        <f t="shared" si="20"/>
        <v>0.6</v>
      </c>
      <c r="H347" s="359">
        <f t="shared" si="21"/>
        <v>1</v>
      </c>
      <c r="I347" s="359">
        <f t="shared" si="21"/>
        <v>1</v>
      </c>
      <c r="J347"/>
      <c r="K347"/>
      <c r="L347"/>
      <c r="M347"/>
      <c r="N347"/>
    </row>
    <row r="348" spans="1:14" x14ac:dyDescent="0.35">
      <c r="B348" s="233" t="s">
        <v>59</v>
      </c>
      <c r="C348" s="233" t="str">
        <f t="shared" si="19"/>
        <v>Litière</v>
      </c>
      <c r="D348" s="235" t="str">
        <f t="shared" ref="D348" si="26">CONCATENATE(B348,"_",C348)</f>
        <v>Litière sciure_Litière</v>
      </c>
      <c r="E348" s="256">
        <v>1</v>
      </c>
      <c r="F348" s="359">
        <f t="shared" si="20"/>
        <v>1</v>
      </c>
      <c r="G348" s="359">
        <f t="shared" si="20"/>
        <v>0.6</v>
      </c>
      <c r="H348" s="359">
        <f t="shared" si="21"/>
        <v>1</v>
      </c>
      <c r="I348" s="359">
        <f t="shared" si="21"/>
        <v>1</v>
      </c>
      <c r="J348"/>
      <c r="K348"/>
      <c r="L348"/>
      <c r="M348"/>
      <c r="N348"/>
    </row>
    <row r="349" spans="1:14" x14ac:dyDescent="0.35">
      <c r="J349"/>
      <c r="K349"/>
      <c r="L349"/>
      <c r="M349"/>
      <c r="N349"/>
    </row>
    <row r="351" spans="1:14" s="202" customFormat="1" x14ac:dyDescent="0.35">
      <c r="A351" s="201" t="s">
        <v>182</v>
      </c>
    </row>
    <row r="353" spans="2:10" x14ac:dyDescent="0.35">
      <c r="D353" s="236" t="s">
        <v>46</v>
      </c>
      <c r="E353" s="236" t="s">
        <v>47</v>
      </c>
      <c r="F353" s="236" t="s">
        <v>51</v>
      </c>
      <c r="G353" s="236" t="s">
        <v>50</v>
      </c>
      <c r="H353" s="236" t="s">
        <v>49</v>
      </c>
      <c r="I353" s="236" t="s">
        <v>48</v>
      </c>
      <c r="J353" s="236" t="s">
        <v>52</v>
      </c>
    </row>
    <row r="354" spans="2:10" x14ac:dyDescent="0.35">
      <c r="B354" s="172" t="s">
        <v>3</v>
      </c>
      <c r="C354" s="237" t="s">
        <v>33</v>
      </c>
      <c r="D354" s="238">
        <v>0.27</v>
      </c>
      <c r="E354" s="238">
        <v>0.27</v>
      </c>
      <c r="F354" s="238">
        <v>0.27</v>
      </c>
      <c r="G354" s="238">
        <v>0.25</v>
      </c>
      <c r="H354" s="238">
        <v>0.25</v>
      </c>
      <c r="I354" s="238">
        <v>0.25</v>
      </c>
      <c r="J354" s="238">
        <v>0.25</v>
      </c>
    </row>
    <row r="355" spans="2:10" x14ac:dyDescent="0.35">
      <c r="B355" s="172" t="s">
        <v>3</v>
      </c>
      <c r="C355" s="237" t="s">
        <v>34</v>
      </c>
      <c r="D355" s="238">
        <v>0.45</v>
      </c>
      <c r="E355" s="238">
        <v>0.45</v>
      </c>
      <c r="F355" s="238">
        <v>0.45</v>
      </c>
      <c r="G355" s="238">
        <v>0.45</v>
      </c>
      <c r="H355" s="238">
        <v>0.45</v>
      </c>
      <c r="I355" s="238">
        <v>0.45</v>
      </c>
      <c r="J355" s="238">
        <v>0.45</v>
      </c>
    </row>
    <row r="356" spans="2:10" x14ac:dyDescent="0.35">
      <c r="B356" s="172" t="s">
        <v>290</v>
      </c>
      <c r="C356" s="237" t="s">
        <v>35</v>
      </c>
      <c r="D356" s="238">
        <v>0.81</v>
      </c>
      <c r="E356" s="238">
        <v>0.81</v>
      </c>
      <c r="F356" s="238">
        <v>0.81</v>
      </c>
      <c r="G356" s="238">
        <v>0.81</v>
      </c>
      <c r="H356" s="238">
        <v>0.81</v>
      </c>
      <c r="I356" s="238">
        <v>0.81</v>
      </c>
      <c r="J356" s="238">
        <v>0.81</v>
      </c>
    </row>
    <row r="357" spans="2:10" x14ac:dyDescent="0.35">
      <c r="B357" s="172" t="s">
        <v>14</v>
      </c>
      <c r="C357" s="237" t="s">
        <v>33</v>
      </c>
      <c r="D357" s="238">
        <v>0.28000000000000003</v>
      </c>
      <c r="E357" s="238">
        <v>0.28000000000000003</v>
      </c>
      <c r="F357" s="238">
        <v>0.28000000000000003</v>
      </c>
      <c r="G357" s="238">
        <v>0.22</v>
      </c>
      <c r="H357" s="238">
        <v>0.22</v>
      </c>
      <c r="I357" s="238">
        <v>0.22</v>
      </c>
      <c r="J357" s="238">
        <v>0.22</v>
      </c>
    </row>
    <row r="358" spans="2:10" x14ac:dyDescent="0.35">
      <c r="B358" s="172" t="s">
        <v>14</v>
      </c>
      <c r="C358" s="237" t="s">
        <v>34</v>
      </c>
      <c r="D358" s="238">
        <v>0.14000000000000001</v>
      </c>
      <c r="E358" s="238">
        <v>0.14000000000000001</v>
      </c>
      <c r="F358" s="238">
        <v>0.14000000000000001</v>
      </c>
      <c r="G358" s="238">
        <v>0.14000000000000001</v>
      </c>
      <c r="H358" s="238">
        <v>0.14000000000000001</v>
      </c>
      <c r="I358" s="238">
        <v>0.14000000000000001</v>
      </c>
      <c r="J358" s="238">
        <v>0.14000000000000001</v>
      </c>
    </row>
    <row r="359" spans="2:10" x14ac:dyDescent="0.35">
      <c r="B359" s="172" t="s">
        <v>288</v>
      </c>
      <c r="C359" s="237" t="s">
        <v>35</v>
      </c>
      <c r="D359" s="238">
        <v>0.4</v>
      </c>
      <c r="E359" s="238">
        <v>0.4</v>
      </c>
      <c r="F359" s="238">
        <v>0.4</v>
      </c>
      <c r="G359" s="238">
        <v>0.28999999999999998</v>
      </c>
      <c r="H359" s="238">
        <v>0.28999999999999998</v>
      </c>
      <c r="I359" s="238">
        <v>0.28999999999999998</v>
      </c>
      <c r="J359" s="238">
        <v>0.28999999999999998</v>
      </c>
    </row>
    <row r="362" spans="2:10" x14ac:dyDescent="0.35">
      <c r="B362" s="239" t="s">
        <v>459</v>
      </c>
    </row>
    <row r="363" spans="2:10" x14ac:dyDescent="0.35">
      <c r="C363" s="240" t="s">
        <v>443</v>
      </c>
      <c r="D363" s="240" t="s">
        <v>444</v>
      </c>
      <c r="E363" s="240" t="s">
        <v>445</v>
      </c>
      <c r="F363" s="240" t="s">
        <v>446</v>
      </c>
    </row>
    <row r="364" spans="2:10" x14ac:dyDescent="0.35">
      <c r="B364" s="172" t="s">
        <v>441</v>
      </c>
      <c r="C364" s="241">
        <v>2.5</v>
      </c>
      <c r="D364" s="231">
        <v>4.9000000000000004</v>
      </c>
      <c r="E364" s="231">
        <v>4.0999999999999996</v>
      </c>
      <c r="F364" s="231">
        <v>0.79</v>
      </c>
    </row>
    <row r="365" spans="2:10" x14ac:dyDescent="0.35">
      <c r="B365" s="172" t="s">
        <v>442</v>
      </c>
      <c r="C365" s="241">
        <v>1.3</v>
      </c>
      <c r="D365" s="231">
        <v>12.3</v>
      </c>
      <c r="E365" s="231">
        <v>2.5</v>
      </c>
      <c r="F365" s="231">
        <v>9.9</v>
      </c>
      <c r="H365" s="133"/>
    </row>
    <row r="366" spans="2:10" x14ac:dyDescent="0.35">
      <c r="B366" s="113" t="s">
        <v>449</v>
      </c>
      <c r="C366" s="242">
        <f>C364+C365</f>
        <v>3.8</v>
      </c>
      <c r="D366" s="243">
        <f>(D364*C364/1000)+D365*C365/1000</f>
        <v>2.8240000000000001E-2</v>
      </c>
      <c r="E366" s="243">
        <f>(E364*C364/1000)+E365*C365/1000</f>
        <v>1.35E-2</v>
      </c>
      <c r="F366" s="243">
        <f>(F364*C364/1000)+F365*C365/1000</f>
        <v>1.4845000000000001E-2</v>
      </c>
      <c r="H366" s="162"/>
    </row>
    <row r="367" spans="2:10" x14ac:dyDescent="0.35">
      <c r="B367" s="113" t="s">
        <v>450</v>
      </c>
      <c r="C367" s="242">
        <f>C364</f>
        <v>2.5</v>
      </c>
      <c r="D367" s="243">
        <f>D364*C364/1000</f>
        <v>1.225E-2</v>
      </c>
      <c r="E367" s="243">
        <f>E364*C364/1000</f>
        <v>1.025E-2</v>
      </c>
      <c r="F367" s="243">
        <f>F364*C364/1000</f>
        <v>1.9750000000000002E-3</v>
      </c>
      <c r="H367" s="244"/>
    </row>
    <row r="368" spans="2:10" x14ac:dyDescent="0.35">
      <c r="B368" s="113" t="s">
        <v>451</v>
      </c>
      <c r="C368" s="242">
        <f>C365</f>
        <v>1.3</v>
      </c>
      <c r="D368" s="243">
        <f>D365*C365/1000</f>
        <v>1.5990000000000001E-2</v>
      </c>
      <c r="E368" s="243">
        <f>E365*C365/1000</f>
        <v>3.2499999999999999E-3</v>
      </c>
      <c r="F368" s="243">
        <f>F365*C365/1000</f>
        <v>1.2870000000000001E-2</v>
      </c>
      <c r="H368" s="244"/>
    </row>
    <row r="370" spans="2:12" x14ac:dyDescent="0.35">
      <c r="B370" s="245" t="str">
        <f>$D$100</f>
        <v>Evacuation mécanique avec racleurs en V</v>
      </c>
      <c r="C370" s="246"/>
      <c r="D370" s="246"/>
    </row>
    <row r="371" spans="2:12" x14ac:dyDescent="0.35">
      <c r="B371" s="113" t="s">
        <v>447</v>
      </c>
      <c r="C371" s="247">
        <f>E367/E366</f>
        <v>0.7592592592592593</v>
      </c>
      <c r="E371" s="248"/>
    </row>
    <row r="372" spans="2:12" x14ac:dyDescent="0.35">
      <c r="B372" s="113" t="s">
        <v>448</v>
      </c>
      <c r="C372" s="247">
        <f>E368/E366</f>
        <v>0.24074074074074073</v>
      </c>
    </row>
    <row r="373" spans="2:12" x14ac:dyDescent="0.35">
      <c r="B373" s="113" t="s">
        <v>469</v>
      </c>
      <c r="C373" s="247">
        <f>F367/F366</f>
        <v>0.13304142809026609</v>
      </c>
    </row>
    <row r="374" spans="2:12" x14ac:dyDescent="0.35">
      <c r="B374" s="113" t="s">
        <v>477</v>
      </c>
      <c r="C374" s="247">
        <f>F368/F366</f>
        <v>0.86695857190973402</v>
      </c>
    </row>
    <row r="375" spans="2:12" x14ac:dyDescent="0.35">
      <c r="J375" s="132" t="s">
        <v>349</v>
      </c>
    </row>
    <row r="376" spans="2:12" x14ac:dyDescent="0.35">
      <c r="B376" s="239" t="s">
        <v>422</v>
      </c>
    </row>
    <row r="377" spans="2:12" ht="29" x14ac:dyDescent="0.35">
      <c r="C377" s="249" t="s">
        <v>301</v>
      </c>
      <c r="D377" s="135" t="s">
        <v>516</v>
      </c>
      <c r="E377" s="164" t="s">
        <v>360</v>
      </c>
      <c r="F377" s="136" t="s">
        <v>460</v>
      </c>
      <c r="G377" s="136" t="s">
        <v>461</v>
      </c>
      <c r="H377" s="136" t="s">
        <v>478</v>
      </c>
      <c r="J377" s="172" t="s">
        <v>351</v>
      </c>
      <c r="K377" s="231">
        <v>712</v>
      </c>
    </row>
    <row r="378" spans="2:12" x14ac:dyDescent="0.35">
      <c r="B378" s="245" t="s">
        <v>4</v>
      </c>
      <c r="C378" s="250">
        <v>1</v>
      </c>
      <c r="D378" s="231">
        <v>0</v>
      </c>
      <c r="E378" s="231">
        <v>0</v>
      </c>
      <c r="F378" s="251">
        <v>1</v>
      </c>
      <c r="G378" s="251">
        <v>0</v>
      </c>
      <c r="H378" s="251">
        <v>0</v>
      </c>
      <c r="J378" s="172" t="s">
        <v>350</v>
      </c>
      <c r="K378" s="231">
        <f>0.7</f>
        <v>0.7</v>
      </c>
    </row>
    <row r="379" spans="2:12" x14ac:dyDescent="0.35">
      <c r="B379" s="245" t="s">
        <v>5</v>
      </c>
      <c r="C379" s="250">
        <v>1</v>
      </c>
      <c r="D379" s="231">
        <v>0</v>
      </c>
      <c r="E379" s="231">
        <v>0</v>
      </c>
      <c r="F379" s="251">
        <v>1</v>
      </c>
      <c r="G379" s="251">
        <v>0</v>
      </c>
      <c r="H379" s="251">
        <v>0</v>
      </c>
      <c r="J379" s="172" t="s">
        <v>352</v>
      </c>
      <c r="K379" s="252">
        <f>K377*K378</f>
        <v>498.4</v>
      </c>
    </row>
    <row r="380" spans="2:12" x14ac:dyDescent="0.35">
      <c r="B380" s="245" t="s">
        <v>338</v>
      </c>
      <c r="C380" s="92">
        <f>0.45/0.14</f>
        <v>3.214285714285714</v>
      </c>
      <c r="D380" s="253">
        <f>K383</f>
        <v>8.6276083467094714E-2</v>
      </c>
      <c r="E380" s="254">
        <f>K388/K389*1000</f>
        <v>19.047619047619047</v>
      </c>
      <c r="F380" s="251">
        <v>1</v>
      </c>
      <c r="G380" s="251">
        <v>0</v>
      </c>
      <c r="H380" s="251">
        <v>0</v>
      </c>
      <c r="J380" s="172" t="s">
        <v>353</v>
      </c>
      <c r="K380" s="231">
        <v>256</v>
      </c>
    </row>
    <row r="381" spans="2:12" x14ac:dyDescent="0.35">
      <c r="B381" s="245" t="s">
        <v>308</v>
      </c>
      <c r="C381" s="250">
        <v>1</v>
      </c>
      <c r="D381" s="231">
        <v>0</v>
      </c>
      <c r="E381" s="231">
        <v>0</v>
      </c>
      <c r="F381" s="255">
        <f>C395</f>
        <v>0.25</v>
      </c>
      <c r="G381" s="255">
        <f>C396</f>
        <v>0.75</v>
      </c>
      <c r="H381" s="255">
        <f>$D$396</f>
        <v>0.5</v>
      </c>
      <c r="J381" s="172" t="s">
        <v>354</v>
      </c>
      <c r="K381" s="231">
        <v>6</v>
      </c>
    </row>
    <row r="382" spans="2:12" x14ac:dyDescent="0.35">
      <c r="B382" s="245" t="s">
        <v>306</v>
      </c>
      <c r="C382" s="250">
        <v>0.3</v>
      </c>
      <c r="D382" s="292">
        <v>0.95</v>
      </c>
      <c r="E382" s="231">
        <v>0</v>
      </c>
      <c r="F382" s="255">
        <f>F381</f>
        <v>0.25</v>
      </c>
      <c r="G382" s="255">
        <f>C396</f>
        <v>0.75</v>
      </c>
      <c r="H382" s="255">
        <f>$D$396</f>
        <v>0.5</v>
      </c>
      <c r="J382" s="172" t="s">
        <v>355</v>
      </c>
      <c r="K382" s="231">
        <v>43</v>
      </c>
      <c r="L382" s="163"/>
    </row>
    <row r="383" spans="2:12" ht="29" x14ac:dyDescent="0.35">
      <c r="B383" s="245" t="s">
        <v>292</v>
      </c>
      <c r="C383" s="250">
        <v>0.3</v>
      </c>
      <c r="D383" s="231">
        <v>0.7</v>
      </c>
      <c r="E383" s="231">
        <v>0</v>
      </c>
      <c r="F383" s="251">
        <v>0</v>
      </c>
      <c r="G383" s="251">
        <v>1</v>
      </c>
      <c r="H383" s="251">
        <v>1</v>
      </c>
      <c r="J383" s="108" t="s">
        <v>356</v>
      </c>
      <c r="K383" s="257">
        <f>K382/K379</f>
        <v>8.6276083467094714E-2</v>
      </c>
    </row>
    <row r="384" spans="2:12" x14ac:dyDescent="0.35">
      <c r="B384" s="245" t="s">
        <v>291</v>
      </c>
      <c r="C384" s="250">
        <v>0.3</v>
      </c>
      <c r="D384" s="231">
        <v>0</v>
      </c>
      <c r="E384" s="231">
        <v>0</v>
      </c>
      <c r="F384" s="251">
        <v>0</v>
      </c>
      <c r="G384" s="258">
        <f>100%+C390</f>
        <v>1.1076923076923075</v>
      </c>
      <c r="H384" s="251">
        <v>1</v>
      </c>
    </row>
    <row r="385" spans="2:11" x14ac:dyDescent="0.35">
      <c r="B385" s="245" t="s">
        <v>307</v>
      </c>
      <c r="C385" s="250">
        <v>0.3</v>
      </c>
      <c r="D385" s="231">
        <v>0</v>
      </c>
      <c r="E385" s="231">
        <v>0</v>
      </c>
      <c r="F385" s="255">
        <f>C395*G384</f>
        <v>0.27692307692307688</v>
      </c>
      <c r="G385" s="255">
        <f>G384*C396</f>
        <v>0.8307692307692307</v>
      </c>
      <c r="H385" s="255">
        <f>$D$396</f>
        <v>0.5</v>
      </c>
    </row>
    <row r="386" spans="2:11" x14ac:dyDescent="0.35">
      <c r="J386" s="259" t="s">
        <v>357</v>
      </c>
    </row>
    <row r="387" spans="2:11" x14ac:dyDescent="0.35">
      <c r="B387" s="260" t="s">
        <v>440</v>
      </c>
      <c r="J387" s="259"/>
    </row>
    <row r="388" spans="2:11" ht="29" x14ac:dyDescent="0.35">
      <c r="B388" s="245" t="s">
        <v>437</v>
      </c>
      <c r="C388" s="261">
        <v>0.65</v>
      </c>
      <c r="J388" s="111" t="s">
        <v>358</v>
      </c>
      <c r="K388" s="256">
        <f>1/15</f>
        <v>6.6666666666666666E-2</v>
      </c>
    </row>
    <row r="389" spans="2:11" ht="29" x14ac:dyDescent="0.35">
      <c r="B389" s="245" t="s">
        <v>438</v>
      </c>
      <c r="C389" s="261">
        <v>0.72</v>
      </c>
      <c r="J389" s="108" t="s">
        <v>359</v>
      </c>
      <c r="K389" s="231">
        <v>3.5</v>
      </c>
    </row>
    <row r="390" spans="2:11" x14ac:dyDescent="0.35">
      <c r="B390" s="245" t="s">
        <v>439</v>
      </c>
      <c r="C390" s="262">
        <f>C389/C388-1</f>
        <v>0.10769230769230753</v>
      </c>
    </row>
    <row r="392" spans="2:11" x14ac:dyDescent="0.35">
      <c r="B392" s="260" t="s">
        <v>458</v>
      </c>
    </row>
    <row r="393" spans="2:11" x14ac:dyDescent="0.35">
      <c r="B393" s="260"/>
      <c r="C393" s="245" t="s">
        <v>470</v>
      </c>
      <c r="D393" s="245" t="s">
        <v>382</v>
      </c>
    </row>
    <row r="394" spans="2:11" x14ac:dyDescent="0.35">
      <c r="B394" s="245" t="s">
        <v>471</v>
      </c>
      <c r="C394" s="261">
        <v>1</v>
      </c>
      <c r="D394" s="261">
        <v>1</v>
      </c>
    </row>
    <row r="395" spans="2:11" x14ac:dyDescent="0.35">
      <c r="B395" s="245" t="s">
        <v>472</v>
      </c>
      <c r="C395" s="261">
        <v>0.25</v>
      </c>
      <c r="D395" s="261">
        <v>0.5</v>
      </c>
    </row>
    <row r="396" spans="2:11" x14ac:dyDescent="0.35">
      <c r="B396" s="245" t="s">
        <v>473</v>
      </c>
      <c r="C396" s="262">
        <f>C394-C395</f>
        <v>0.75</v>
      </c>
      <c r="D396" s="262">
        <f>D394-D395</f>
        <v>0.5</v>
      </c>
    </row>
    <row r="399" spans="2:11" x14ac:dyDescent="0.35">
      <c r="B399" s="50" t="s">
        <v>198</v>
      </c>
    </row>
    <row r="401" spans="2:7" x14ac:dyDescent="0.35">
      <c r="B401" s="52" t="s">
        <v>531</v>
      </c>
      <c r="C401" s="231">
        <v>0.88</v>
      </c>
    </row>
    <row r="402" spans="2:7" x14ac:dyDescent="0.35">
      <c r="B402" s="52" t="s">
        <v>584</v>
      </c>
      <c r="C402" s="231">
        <v>5.5999999999999999E-3</v>
      </c>
    </row>
    <row r="403" spans="2:7" ht="29" x14ac:dyDescent="0.35">
      <c r="B403" s="52" t="s">
        <v>554</v>
      </c>
      <c r="C403" s="231">
        <v>6.7000000000000002E-3</v>
      </c>
      <c r="D403" s="162"/>
    </row>
    <row r="404" spans="2:7" ht="26" x14ac:dyDescent="0.35">
      <c r="B404" s="263" t="s">
        <v>555</v>
      </c>
      <c r="C404" s="231">
        <v>0.1</v>
      </c>
    </row>
    <row r="407" spans="2:7" x14ac:dyDescent="0.35">
      <c r="B407" s="50" t="s">
        <v>207</v>
      </c>
    </row>
    <row r="408" spans="2:7" x14ac:dyDescent="0.35">
      <c r="C408" s="136" t="s">
        <v>301</v>
      </c>
    </row>
    <row r="409" spans="2:7" x14ac:dyDescent="0.35">
      <c r="B409" s="52" t="s">
        <v>37</v>
      </c>
      <c r="C409" s="231">
        <v>1</v>
      </c>
      <c r="G409" s="153"/>
    </row>
    <row r="410" spans="2:7" x14ac:dyDescent="0.35">
      <c r="B410" s="52" t="s">
        <v>304</v>
      </c>
      <c r="C410" s="231">
        <v>1</v>
      </c>
    </row>
    <row r="411" spans="2:7" x14ac:dyDescent="0.35">
      <c r="B411" s="52" t="s">
        <v>305</v>
      </c>
      <c r="C411" s="231">
        <v>1</v>
      </c>
    </row>
    <row r="412" spans="2:7" x14ac:dyDescent="0.35">
      <c r="B412" s="52" t="s">
        <v>402</v>
      </c>
      <c r="C412" s="231">
        <v>1</v>
      </c>
    </row>
    <row r="413" spans="2:7" x14ac:dyDescent="0.35">
      <c r="B413" s="52" t="s">
        <v>401</v>
      </c>
      <c r="C413" s="231">
        <v>0.6</v>
      </c>
    </row>
    <row r="414" spans="2:7" x14ac:dyDescent="0.35">
      <c r="B414" s="52" t="s">
        <v>681</v>
      </c>
      <c r="C414" s="231">
        <v>0.19999999999999996</v>
      </c>
    </row>
    <row r="415" spans="2:7" ht="26.5" x14ac:dyDescent="0.35">
      <c r="B415" s="52" t="s">
        <v>682</v>
      </c>
      <c r="C415" s="231">
        <v>0.6</v>
      </c>
    </row>
    <row r="416" spans="2:7" ht="26.5" x14ac:dyDescent="0.35">
      <c r="B416" s="245" t="s">
        <v>683</v>
      </c>
      <c r="C416" s="231">
        <v>0.4</v>
      </c>
    </row>
    <row r="417" spans="2:4" x14ac:dyDescent="0.35">
      <c r="B417" s="245" t="s">
        <v>411</v>
      </c>
      <c r="C417" s="231">
        <v>0</v>
      </c>
    </row>
    <row r="419" spans="2:4" x14ac:dyDescent="0.35">
      <c r="B419" s="50" t="s">
        <v>488</v>
      </c>
    </row>
    <row r="421" spans="2:4" ht="26.5" x14ac:dyDescent="0.35">
      <c r="B421" s="52" t="s">
        <v>512</v>
      </c>
      <c r="C421" s="231">
        <f>1/100</f>
        <v>0.01</v>
      </c>
    </row>
    <row r="422" spans="2:4" ht="26.5" x14ac:dyDescent="0.35">
      <c r="B422" s="245" t="s">
        <v>513</v>
      </c>
      <c r="C422" s="231">
        <f>0.01/100</f>
        <v>1E-4</v>
      </c>
    </row>
    <row r="423" spans="2:4" ht="26.5" x14ac:dyDescent="0.35">
      <c r="B423" s="52" t="s">
        <v>514</v>
      </c>
      <c r="C423" s="231">
        <f>30/100</f>
        <v>0.3</v>
      </c>
    </row>
    <row r="424" spans="2:4" ht="26.5" x14ac:dyDescent="0.35">
      <c r="B424" s="245" t="s">
        <v>515</v>
      </c>
      <c r="C424" s="231">
        <f>0.3/100</f>
        <v>3.0000000000000001E-3</v>
      </c>
    </row>
    <row r="425" spans="2:4" ht="26.5" x14ac:dyDescent="0.35">
      <c r="B425" s="245" t="s">
        <v>492</v>
      </c>
      <c r="C425" s="231">
        <v>0.12</v>
      </c>
    </row>
    <row r="427" spans="2:4" x14ac:dyDescent="0.35">
      <c r="B427" s="50" t="s">
        <v>208</v>
      </c>
    </row>
    <row r="428" spans="2:4" x14ac:dyDescent="0.35">
      <c r="B428" s="50"/>
    </row>
    <row r="429" spans="2:4" x14ac:dyDescent="0.35">
      <c r="B429" s="240" t="s">
        <v>209</v>
      </c>
      <c r="C429" s="240" t="s">
        <v>210</v>
      </c>
      <c r="D429" s="240" t="s">
        <v>6</v>
      </c>
    </row>
    <row r="430" spans="2:4" x14ac:dyDescent="0.35">
      <c r="B430" s="172" t="s">
        <v>288</v>
      </c>
      <c r="C430" s="245" t="s">
        <v>38</v>
      </c>
      <c r="D430" s="256">
        <v>1</v>
      </c>
    </row>
    <row r="431" spans="2:4" x14ac:dyDescent="0.35">
      <c r="B431" s="172" t="s">
        <v>288</v>
      </c>
      <c r="C431" s="245" t="s">
        <v>313</v>
      </c>
      <c r="D431" s="256">
        <v>1</v>
      </c>
    </row>
    <row r="432" spans="2:4" x14ac:dyDescent="0.35">
      <c r="B432" s="172" t="s">
        <v>288</v>
      </c>
      <c r="C432" s="245" t="s">
        <v>684</v>
      </c>
      <c r="D432" s="256">
        <v>0.2</v>
      </c>
    </row>
    <row r="433" spans="2:4" x14ac:dyDescent="0.35">
      <c r="B433" s="172" t="s">
        <v>288</v>
      </c>
      <c r="C433" s="245" t="s">
        <v>685</v>
      </c>
      <c r="D433" s="256">
        <v>0.3</v>
      </c>
    </row>
    <row r="434" spans="2:4" x14ac:dyDescent="0.35">
      <c r="B434" s="172" t="s">
        <v>288</v>
      </c>
      <c r="C434" s="245" t="s">
        <v>310</v>
      </c>
      <c r="D434" s="256">
        <v>0.6</v>
      </c>
    </row>
    <row r="435" spans="2:4" x14ac:dyDescent="0.35">
      <c r="B435" s="172" t="s">
        <v>288</v>
      </c>
      <c r="C435" s="245" t="s">
        <v>311</v>
      </c>
      <c r="D435" s="256">
        <v>0.75</v>
      </c>
    </row>
    <row r="436" spans="2:4" x14ac:dyDescent="0.35">
      <c r="B436" s="172" t="s">
        <v>288</v>
      </c>
      <c r="C436" s="245" t="s">
        <v>312</v>
      </c>
      <c r="D436" s="256">
        <v>1</v>
      </c>
    </row>
    <row r="437" spans="2:4" x14ac:dyDescent="0.35">
      <c r="B437" s="172" t="s">
        <v>288</v>
      </c>
      <c r="C437" s="245" t="s">
        <v>686</v>
      </c>
      <c r="D437" s="256">
        <v>0.7</v>
      </c>
    </row>
    <row r="438" spans="2:4" ht="26.5" x14ac:dyDescent="0.35">
      <c r="B438" s="172" t="s">
        <v>288</v>
      </c>
      <c r="C438" s="245" t="s">
        <v>687</v>
      </c>
      <c r="D438" s="256">
        <v>0.2</v>
      </c>
    </row>
    <row r="439" spans="2:4" ht="26.5" x14ac:dyDescent="0.35">
      <c r="B439" s="172" t="s">
        <v>288</v>
      </c>
      <c r="C439" s="245" t="s">
        <v>688</v>
      </c>
      <c r="D439" s="256">
        <v>0.3</v>
      </c>
    </row>
    <row r="440" spans="2:4" ht="26.5" x14ac:dyDescent="0.35">
      <c r="B440" s="172" t="s">
        <v>288</v>
      </c>
      <c r="C440" s="245" t="s">
        <v>689</v>
      </c>
      <c r="D440" s="256">
        <v>0.6</v>
      </c>
    </row>
    <row r="441" spans="2:4" ht="26.5" x14ac:dyDescent="0.35">
      <c r="B441" s="172" t="s">
        <v>288</v>
      </c>
      <c r="C441" s="245" t="s">
        <v>690</v>
      </c>
      <c r="D441" s="256">
        <v>0.7</v>
      </c>
    </row>
    <row r="442" spans="2:4" ht="26.5" x14ac:dyDescent="0.35">
      <c r="B442" s="172" t="s">
        <v>288</v>
      </c>
      <c r="C442" s="245" t="s">
        <v>691</v>
      </c>
      <c r="D442" s="256">
        <v>0.7</v>
      </c>
    </row>
    <row r="443" spans="2:4" x14ac:dyDescent="0.35">
      <c r="B443" s="172" t="s">
        <v>288</v>
      </c>
      <c r="C443" s="245" t="s">
        <v>314</v>
      </c>
      <c r="D443" s="256">
        <v>0.6</v>
      </c>
    </row>
    <row r="444" spans="2:4" x14ac:dyDescent="0.35">
      <c r="B444" s="172" t="s">
        <v>288</v>
      </c>
      <c r="C444" s="245" t="s">
        <v>692</v>
      </c>
      <c r="D444" s="256">
        <v>0.4</v>
      </c>
    </row>
    <row r="445" spans="2:4" x14ac:dyDescent="0.35">
      <c r="B445" s="172" t="s">
        <v>288</v>
      </c>
      <c r="C445" s="245" t="s">
        <v>693</v>
      </c>
      <c r="D445" s="256">
        <v>0.2</v>
      </c>
    </row>
    <row r="446" spans="2:4" x14ac:dyDescent="0.35">
      <c r="B446" s="172" t="s">
        <v>290</v>
      </c>
      <c r="C446" s="245" t="s">
        <v>38</v>
      </c>
      <c r="D446" s="256">
        <v>1</v>
      </c>
    </row>
    <row r="447" spans="2:4" x14ac:dyDescent="0.35">
      <c r="B447" s="172" t="s">
        <v>290</v>
      </c>
      <c r="C447" s="245" t="s">
        <v>39</v>
      </c>
      <c r="D447" s="256">
        <v>1</v>
      </c>
    </row>
    <row r="448" spans="2:4" x14ac:dyDescent="0.35">
      <c r="B448" s="172" t="s">
        <v>290</v>
      </c>
      <c r="C448" s="245" t="s">
        <v>694</v>
      </c>
      <c r="D448" s="256">
        <v>0.35</v>
      </c>
    </row>
    <row r="449" spans="1:4" x14ac:dyDescent="0.35">
      <c r="B449" s="172"/>
      <c r="C449" s="245" t="s">
        <v>695</v>
      </c>
      <c r="D449" s="256">
        <v>0.5</v>
      </c>
    </row>
    <row r="450" spans="1:4" x14ac:dyDescent="0.35">
      <c r="B450" s="172"/>
      <c r="C450" s="245" t="s">
        <v>315</v>
      </c>
      <c r="D450" s="256">
        <v>0.65</v>
      </c>
    </row>
    <row r="451" spans="1:4" x14ac:dyDescent="0.35">
      <c r="B451" s="172" t="s">
        <v>290</v>
      </c>
      <c r="C451" s="245" t="s">
        <v>316</v>
      </c>
      <c r="D451" s="256">
        <v>0.75</v>
      </c>
    </row>
    <row r="452" spans="1:4" x14ac:dyDescent="0.35">
      <c r="B452" s="172" t="s">
        <v>290</v>
      </c>
      <c r="C452" s="245" t="s">
        <v>317</v>
      </c>
      <c r="D452" s="256">
        <v>1</v>
      </c>
    </row>
    <row r="454" spans="1:4" s="202" customFormat="1" x14ac:dyDescent="0.35">
      <c r="A454" s="201" t="s">
        <v>223</v>
      </c>
    </row>
    <row r="456" spans="1:4" x14ac:dyDescent="0.35">
      <c r="A456" s="51" t="s">
        <v>429</v>
      </c>
    </row>
    <row r="457" spans="1:4" x14ac:dyDescent="0.35">
      <c r="A457" s="51" t="s">
        <v>427</v>
      </c>
    </row>
    <row r="458" spans="1:4" x14ac:dyDescent="0.35">
      <c r="C458" s="45" t="s">
        <v>75</v>
      </c>
      <c r="D458" s="316" t="s">
        <v>426</v>
      </c>
    </row>
    <row r="459" spans="1:4" x14ac:dyDescent="0.35">
      <c r="B459" s="264" t="s">
        <v>46</v>
      </c>
      <c r="C459" s="126">
        <v>0.28215915202434161</v>
      </c>
      <c r="D459" s="317">
        <v>0.31</v>
      </c>
    </row>
    <row r="460" spans="1:4" x14ac:dyDescent="0.35">
      <c r="B460" s="264" t="s">
        <v>47</v>
      </c>
      <c r="C460" s="126">
        <v>0.81777518805969285</v>
      </c>
      <c r="D460" s="317">
        <v>0.86</v>
      </c>
    </row>
    <row r="461" spans="1:4" x14ac:dyDescent="0.35">
      <c r="B461" s="264" t="s">
        <v>51</v>
      </c>
      <c r="C461" s="44">
        <v>0.78</v>
      </c>
      <c r="D461" s="265" t="s">
        <v>428</v>
      </c>
    </row>
    <row r="462" spans="1:4" x14ac:dyDescent="0.35">
      <c r="B462" s="264" t="s">
        <v>48</v>
      </c>
      <c r="C462" s="126">
        <v>3.01</v>
      </c>
      <c r="D462" s="265" t="s">
        <v>428</v>
      </c>
    </row>
    <row r="463" spans="1:4" x14ac:dyDescent="0.35">
      <c r="B463" s="264" t="s">
        <v>49</v>
      </c>
      <c r="C463" s="126">
        <f>C462</f>
        <v>3.01</v>
      </c>
      <c r="D463" s="265" t="s">
        <v>428</v>
      </c>
    </row>
    <row r="464" spans="1:4" x14ac:dyDescent="0.35">
      <c r="B464" s="264" t="s">
        <v>50</v>
      </c>
      <c r="C464" s="126">
        <f>C463</f>
        <v>3.01</v>
      </c>
      <c r="D464" s="265" t="s">
        <v>428</v>
      </c>
    </row>
    <row r="465" spans="1:4" x14ac:dyDescent="0.35">
      <c r="B465" s="264" t="s">
        <v>52</v>
      </c>
      <c r="C465" s="44">
        <v>0.78</v>
      </c>
      <c r="D465" s="265" t="s">
        <v>428</v>
      </c>
    </row>
    <row r="467" spans="1:4" s="202" customFormat="1" x14ac:dyDescent="0.35">
      <c r="A467" s="201" t="s">
        <v>228</v>
      </c>
    </row>
    <row r="469" spans="1:4" x14ac:dyDescent="0.35">
      <c r="B469" s="50" t="s">
        <v>229</v>
      </c>
    </row>
    <row r="470" spans="1:4" ht="15" x14ac:dyDescent="0.35">
      <c r="C470" s="266" t="s">
        <v>556</v>
      </c>
      <c r="D470" s="301" t="s">
        <v>621</v>
      </c>
    </row>
    <row r="471" spans="1:4" x14ac:dyDescent="0.35">
      <c r="B471" s="236" t="s">
        <v>46</v>
      </c>
      <c r="C471" s="44">
        <v>0.45</v>
      </c>
      <c r="D471" s="44">
        <v>0.3</v>
      </c>
    </row>
    <row r="472" spans="1:4" x14ac:dyDescent="0.35">
      <c r="B472" s="236" t="s">
        <v>47</v>
      </c>
      <c r="C472" s="44">
        <v>0.45</v>
      </c>
      <c r="D472" s="44">
        <v>0.3</v>
      </c>
    </row>
    <row r="473" spans="1:4" x14ac:dyDescent="0.35">
      <c r="B473" s="236" t="s">
        <v>51</v>
      </c>
      <c r="C473" s="44">
        <v>0.45</v>
      </c>
      <c r="D473" s="44">
        <v>0.3</v>
      </c>
    </row>
    <row r="474" spans="1:4" x14ac:dyDescent="0.35">
      <c r="B474" s="236" t="s">
        <v>50</v>
      </c>
      <c r="C474" s="44">
        <v>0.45</v>
      </c>
      <c r="D474" s="44">
        <v>0.46</v>
      </c>
    </row>
    <row r="475" spans="1:4" x14ac:dyDescent="0.35">
      <c r="B475" s="236" t="s">
        <v>49</v>
      </c>
      <c r="C475" s="44">
        <v>0.45</v>
      </c>
      <c r="D475" s="44">
        <v>0.46</v>
      </c>
    </row>
    <row r="476" spans="1:4" x14ac:dyDescent="0.35">
      <c r="B476" s="236" t="s">
        <v>48</v>
      </c>
      <c r="C476" s="44">
        <v>0.45</v>
      </c>
      <c r="D476" s="44">
        <v>0.46</v>
      </c>
    </row>
    <row r="477" spans="1:4" x14ac:dyDescent="0.35">
      <c r="B477" s="236" t="s">
        <v>52</v>
      </c>
      <c r="C477" s="44">
        <v>0.45</v>
      </c>
      <c r="D477" s="44">
        <v>0.46</v>
      </c>
    </row>
    <row r="479" spans="1:4" x14ac:dyDescent="0.35">
      <c r="B479" s="50" t="s">
        <v>233</v>
      </c>
    </row>
    <row r="481" spans="2:10" x14ac:dyDescent="0.35">
      <c r="B481" s="51" t="s">
        <v>240</v>
      </c>
    </row>
    <row r="483" spans="2:10" x14ac:dyDescent="0.35">
      <c r="B483" s="480" t="s">
        <v>290</v>
      </c>
      <c r="C483" s="473" t="s">
        <v>241</v>
      </c>
      <c r="D483" s="267" t="s">
        <v>114</v>
      </c>
      <c r="E483" s="44">
        <v>3</v>
      </c>
      <c r="G483" s="480" t="s">
        <v>288</v>
      </c>
      <c r="H483" s="473" t="s">
        <v>241</v>
      </c>
      <c r="I483" s="267" t="s">
        <v>114</v>
      </c>
      <c r="J483" s="44">
        <v>7</v>
      </c>
    </row>
    <row r="484" spans="2:10" x14ac:dyDescent="0.35">
      <c r="B484" s="481"/>
      <c r="C484" s="475"/>
      <c r="D484" s="267" t="s">
        <v>115</v>
      </c>
      <c r="E484" s="44">
        <v>4</v>
      </c>
      <c r="G484" s="481"/>
      <c r="H484" s="475"/>
      <c r="I484" s="267" t="s">
        <v>115</v>
      </c>
      <c r="J484" s="44">
        <v>8</v>
      </c>
    </row>
    <row r="485" spans="2:10" x14ac:dyDescent="0.35">
      <c r="B485" s="481"/>
      <c r="C485" s="473" t="s">
        <v>82</v>
      </c>
      <c r="D485" s="267" t="s">
        <v>411</v>
      </c>
      <c r="E485" s="44">
        <v>0</v>
      </c>
      <c r="G485" s="481"/>
      <c r="H485" s="473" t="s">
        <v>82</v>
      </c>
      <c r="I485" s="267" t="s">
        <v>411</v>
      </c>
      <c r="J485" s="44">
        <v>0</v>
      </c>
    </row>
    <row r="486" spans="2:10" x14ac:dyDescent="0.35">
      <c r="B486" s="481"/>
      <c r="C486" s="474"/>
      <c r="D486" s="267" t="s">
        <v>37</v>
      </c>
      <c r="E486" s="44">
        <v>2</v>
      </c>
      <c r="G486" s="481"/>
      <c r="H486" s="474"/>
      <c r="I486" s="268" t="str">
        <f>D172</f>
        <v>Fosse non couverte (extérieure)</v>
      </c>
      <c r="J486" s="44">
        <v>6</v>
      </c>
    </row>
    <row r="487" spans="2:10" ht="14.5" customHeight="1" x14ac:dyDescent="0.35">
      <c r="B487" s="481"/>
      <c r="C487" s="474"/>
      <c r="D487" s="267" t="s">
        <v>304</v>
      </c>
      <c r="E487" s="44">
        <v>2</v>
      </c>
      <c r="G487" s="481"/>
      <c r="H487" s="474"/>
      <c r="I487" s="268" t="str">
        <f>D173</f>
        <v>Fosse non couverte alimentée par le bas (extérieure)</v>
      </c>
      <c r="J487" s="44">
        <v>5</v>
      </c>
    </row>
    <row r="488" spans="2:10" x14ac:dyDescent="0.35">
      <c r="B488" s="481"/>
      <c r="C488" s="475"/>
      <c r="D488" s="268" t="s">
        <v>305</v>
      </c>
      <c r="E488" s="44">
        <v>2</v>
      </c>
      <c r="G488" s="481"/>
      <c r="H488" s="474"/>
      <c r="I488" s="268" t="str">
        <f>D174</f>
        <v>Couvertures rigide et souple</v>
      </c>
      <c r="J488" s="44">
        <v>5</v>
      </c>
    </row>
    <row r="489" spans="2:10" ht="14.5" customHeight="1" x14ac:dyDescent="0.35">
      <c r="B489" s="481"/>
      <c r="C489" s="473" t="s">
        <v>503</v>
      </c>
      <c r="D489" s="268" t="s">
        <v>4</v>
      </c>
      <c r="E489" s="44">
        <v>9</v>
      </c>
      <c r="G489" s="481"/>
      <c r="H489" s="474"/>
      <c r="I489" s="268" t="str">
        <f>D175</f>
        <v>Croûte naturelle, paille, balles en plastique, matériaux légers en vrac</v>
      </c>
      <c r="J489" s="44">
        <v>5</v>
      </c>
    </row>
    <row r="490" spans="2:10" ht="14.5" customHeight="1" x14ac:dyDescent="0.35">
      <c r="B490" s="481"/>
      <c r="C490" s="474"/>
      <c r="D490" s="268" t="s">
        <v>5</v>
      </c>
      <c r="E490" s="44">
        <v>9</v>
      </c>
      <c r="G490" s="481"/>
      <c r="H490" s="475"/>
      <c r="I490" s="268" t="str">
        <f>D176</f>
        <v>Couvertures souples flottantes, plaques géométriques en plastique, couvertures gonflables, feuilles de plastique souples</v>
      </c>
      <c r="J490" s="44">
        <v>5</v>
      </c>
    </row>
    <row r="491" spans="2:10" x14ac:dyDescent="0.35">
      <c r="B491" s="481"/>
      <c r="C491" s="474"/>
      <c r="D491" s="267" t="s">
        <v>291</v>
      </c>
      <c r="E491" s="91" t="s">
        <v>6</v>
      </c>
      <c r="G491" s="481"/>
      <c r="H491" s="473" t="s">
        <v>502</v>
      </c>
      <c r="I491" s="268" t="s">
        <v>338</v>
      </c>
      <c r="J491" s="44">
        <v>9</v>
      </c>
    </row>
    <row r="492" spans="2:10" x14ac:dyDescent="0.35">
      <c r="B492" s="482"/>
      <c r="C492" s="475"/>
      <c r="D492" s="268" t="s">
        <v>307</v>
      </c>
      <c r="E492" s="91" t="s">
        <v>6</v>
      </c>
      <c r="G492" s="481"/>
      <c r="H492" s="474"/>
      <c r="I492" s="268" t="s">
        <v>308</v>
      </c>
      <c r="J492" s="44">
        <v>0</v>
      </c>
    </row>
    <row r="493" spans="2:10" ht="29" x14ac:dyDescent="0.35">
      <c r="G493" s="481"/>
      <c r="H493" s="474"/>
      <c r="I493" s="268" t="s">
        <v>306</v>
      </c>
      <c r="J493" s="91" t="s">
        <v>6</v>
      </c>
    </row>
    <row r="494" spans="2:10" x14ac:dyDescent="0.35">
      <c r="G494" s="481"/>
      <c r="H494" s="474"/>
      <c r="I494" s="268" t="s">
        <v>292</v>
      </c>
      <c r="J494" s="91" t="s">
        <v>6</v>
      </c>
    </row>
    <row r="495" spans="2:10" x14ac:dyDescent="0.35">
      <c r="G495" s="481"/>
      <c r="H495" s="474"/>
      <c r="I495" s="268" t="s">
        <v>291</v>
      </c>
      <c r="J495" s="91" t="s">
        <v>6</v>
      </c>
    </row>
    <row r="496" spans="2:10" x14ac:dyDescent="0.35">
      <c r="G496" s="482"/>
      <c r="H496" s="475"/>
      <c r="I496" s="268" t="s">
        <v>307</v>
      </c>
      <c r="J496" s="91" t="s">
        <v>6</v>
      </c>
    </row>
    <row r="497" spans="1:12" x14ac:dyDescent="0.35">
      <c r="G497"/>
    </row>
    <row r="498" spans="1:12" x14ac:dyDescent="0.35">
      <c r="G498"/>
    </row>
    <row r="499" spans="1:12" x14ac:dyDescent="0.35">
      <c r="G499"/>
    </row>
    <row r="501" spans="1:12" x14ac:dyDescent="0.35">
      <c r="D501" s="269" t="s">
        <v>273</v>
      </c>
      <c r="E501" s="270"/>
      <c r="F501" s="270"/>
      <c r="G501" s="270"/>
      <c r="H501" s="270"/>
      <c r="I501" s="270"/>
      <c r="J501" s="270"/>
      <c r="K501" s="270"/>
      <c r="L501" s="271"/>
    </row>
    <row r="502" spans="1:12" x14ac:dyDescent="0.35">
      <c r="B502" s="43" t="s">
        <v>234</v>
      </c>
      <c r="C502" s="43" t="s">
        <v>242</v>
      </c>
      <c r="D502" s="45">
        <v>10</v>
      </c>
      <c r="E502" s="45">
        <v>11</v>
      </c>
      <c r="F502" s="45">
        <v>12</v>
      </c>
      <c r="G502" s="45">
        <v>13</v>
      </c>
      <c r="H502" s="45">
        <v>14</v>
      </c>
      <c r="I502" s="45">
        <v>15</v>
      </c>
      <c r="J502" s="45">
        <v>16</v>
      </c>
      <c r="K502" s="45">
        <v>17</v>
      </c>
      <c r="L502" s="45">
        <v>25</v>
      </c>
    </row>
    <row r="503" spans="1:12" x14ac:dyDescent="0.35">
      <c r="A503" s="51">
        <v>2</v>
      </c>
      <c r="B503" s="43" t="s">
        <v>235</v>
      </c>
      <c r="C503" s="43" t="s">
        <v>3</v>
      </c>
      <c r="D503" s="44">
        <v>2</v>
      </c>
      <c r="E503" s="44">
        <v>2</v>
      </c>
      <c r="F503" s="44">
        <v>2</v>
      </c>
      <c r="G503" s="44">
        <v>2</v>
      </c>
      <c r="H503" s="44">
        <v>2</v>
      </c>
      <c r="I503" s="44">
        <v>4</v>
      </c>
      <c r="J503" s="44">
        <v>4</v>
      </c>
      <c r="K503" s="44">
        <v>4</v>
      </c>
      <c r="L503" s="44">
        <v>4</v>
      </c>
    </row>
    <row r="504" spans="1:12" x14ac:dyDescent="0.35">
      <c r="A504" s="51">
        <v>3</v>
      </c>
      <c r="B504" s="43" t="s">
        <v>318</v>
      </c>
      <c r="C504" s="43" t="s">
        <v>80</v>
      </c>
      <c r="D504" s="44">
        <v>3</v>
      </c>
      <c r="E504" s="44">
        <v>3</v>
      </c>
      <c r="F504" s="44">
        <v>3</v>
      </c>
      <c r="G504" s="44">
        <v>3</v>
      </c>
      <c r="H504" s="44">
        <v>3</v>
      </c>
      <c r="I504" s="44">
        <v>3</v>
      </c>
      <c r="J504" s="44">
        <v>3</v>
      </c>
      <c r="K504" s="44">
        <v>3</v>
      </c>
      <c r="L504" s="44">
        <v>3</v>
      </c>
    </row>
    <row r="505" spans="1:12" x14ac:dyDescent="0.35">
      <c r="A505" s="51">
        <v>4</v>
      </c>
      <c r="B505" s="43" t="s">
        <v>318</v>
      </c>
      <c r="C505" s="43" t="s">
        <v>81</v>
      </c>
      <c r="D505" s="44">
        <v>17</v>
      </c>
      <c r="E505" s="44">
        <v>19</v>
      </c>
      <c r="F505" s="44">
        <v>20</v>
      </c>
      <c r="G505" s="44">
        <v>22</v>
      </c>
      <c r="H505" s="44">
        <v>25</v>
      </c>
      <c r="I505" s="44">
        <v>27</v>
      </c>
      <c r="J505" s="44">
        <v>29</v>
      </c>
      <c r="K505" s="44">
        <v>32</v>
      </c>
      <c r="L505" s="44">
        <v>65</v>
      </c>
    </row>
    <row r="506" spans="1:12" x14ac:dyDescent="0.35">
      <c r="A506" s="51">
        <v>5</v>
      </c>
      <c r="B506" s="43" t="s">
        <v>237</v>
      </c>
      <c r="C506" s="43" t="s">
        <v>76</v>
      </c>
      <c r="D506" s="44">
        <v>10</v>
      </c>
      <c r="E506" s="44">
        <v>11</v>
      </c>
      <c r="F506" s="44">
        <v>13</v>
      </c>
      <c r="G506" s="44">
        <v>14</v>
      </c>
      <c r="H506" s="44">
        <v>15</v>
      </c>
      <c r="I506" s="44">
        <v>17</v>
      </c>
      <c r="J506" s="44">
        <v>18</v>
      </c>
      <c r="K506" s="44">
        <v>20</v>
      </c>
      <c r="L506" s="44">
        <v>41</v>
      </c>
    </row>
    <row r="507" spans="1:12" x14ac:dyDescent="0.35">
      <c r="A507" s="51">
        <v>6</v>
      </c>
      <c r="B507" s="43" t="s">
        <v>237</v>
      </c>
      <c r="C507" s="43" t="s">
        <v>77</v>
      </c>
      <c r="D507" s="44">
        <v>17</v>
      </c>
      <c r="E507" s="44">
        <v>19</v>
      </c>
      <c r="F507" s="44">
        <v>20</v>
      </c>
      <c r="G507" s="44">
        <v>22</v>
      </c>
      <c r="H507" s="44">
        <v>25</v>
      </c>
      <c r="I507" s="44">
        <v>27</v>
      </c>
      <c r="J507" s="44">
        <v>29</v>
      </c>
      <c r="K507" s="44">
        <v>32</v>
      </c>
      <c r="L507" s="44">
        <v>65</v>
      </c>
    </row>
    <row r="508" spans="1:12" x14ac:dyDescent="0.35">
      <c r="A508" s="51">
        <v>7</v>
      </c>
      <c r="B508" s="43" t="s">
        <v>236</v>
      </c>
      <c r="C508" s="43" t="s">
        <v>78</v>
      </c>
      <c r="D508" s="44">
        <v>3</v>
      </c>
      <c r="E508" s="44">
        <v>3</v>
      </c>
      <c r="F508" s="44">
        <v>3</v>
      </c>
      <c r="G508" s="44">
        <v>3</v>
      </c>
      <c r="H508" s="44">
        <v>3</v>
      </c>
      <c r="I508" s="44">
        <v>3</v>
      </c>
      <c r="J508" s="44">
        <v>3</v>
      </c>
      <c r="K508" s="44">
        <v>3</v>
      </c>
      <c r="L508" s="44">
        <v>3</v>
      </c>
    </row>
    <row r="509" spans="1:12" x14ac:dyDescent="0.35">
      <c r="A509" s="51">
        <v>8</v>
      </c>
      <c r="B509" s="43" t="s">
        <v>236</v>
      </c>
      <c r="C509" s="272" t="s">
        <v>79</v>
      </c>
      <c r="D509" s="44">
        <v>17</v>
      </c>
      <c r="E509" s="44">
        <v>19</v>
      </c>
      <c r="F509" s="44">
        <v>20</v>
      </c>
      <c r="G509" s="44">
        <v>22</v>
      </c>
      <c r="H509" s="44">
        <v>25</v>
      </c>
      <c r="I509" s="44">
        <v>27</v>
      </c>
      <c r="J509" s="44">
        <v>29</v>
      </c>
      <c r="K509" s="44">
        <v>32</v>
      </c>
      <c r="L509" s="44">
        <v>65</v>
      </c>
    </row>
    <row r="510" spans="1:12" x14ac:dyDescent="0.35">
      <c r="A510" s="51">
        <v>9</v>
      </c>
      <c r="B510" s="43" t="s">
        <v>238</v>
      </c>
      <c r="C510" s="43" t="s">
        <v>363</v>
      </c>
      <c r="D510" s="44">
        <v>0.5</v>
      </c>
      <c r="E510" s="44">
        <v>0.5</v>
      </c>
      <c r="F510" s="44">
        <v>0.5</v>
      </c>
      <c r="G510" s="44">
        <v>0.5</v>
      </c>
      <c r="H510" s="44">
        <v>0.5</v>
      </c>
      <c r="I510" s="44">
        <v>0.5</v>
      </c>
      <c r="J510" s="44">
        <v>0.5</v>
      </c>
      <c r="K510" s="44">
        <v>0.5</v>
      </c>
      <c r="L510" s="44">
        <v>0.5</v>
      </c>
    </row>
    <row r="511" spans="1:12" x14ac:dyDescent="0.35">
      <c r="A511" s="51">
        <v>10</v>
      </c>
      <c r="B511" s="43" t="s">
        <v>239</v>
      </c>
      <c r="C511" s="43" t="s">
        <v>364</v>
      </c>
      <c r="D511" s="44">
        <v>0.5</v>
      </c>
      <c r="E511" s="44">
        <v>0.5</v>
      </c>
      <c r="F511" s="44">
        <v>0.5</v>
      </c>
      <c r="G511" s="44">
        <v>0.5</v>
      </c>
      <c r="H511" s="44">
        <v>0.5</v>
      </c>
      <c r="I511" s="44">
        <v>1</v>
      </c>
      <c r="J511" s="44">
        <v>1</v>
      </c>
      <c r="K511" s="44">
        <v>1</v>
      </c>
      <c r="L511" s="44">
        <v>1</v>
      </c>
    </row>
    <row r="513" spans="2:4" x14ac:dyDescent="0.35">
      <c r="B513" s="239" t="s">
        <v>498</v>
      </c>
    </row>
    <row r="514" spans="2:4" x14ac:dyDescent="0.35">
      <c r="C514" s="245" t="s">
        <v>443</v>
      </c>
      <c r="D514" s="245" t="s">
        <v>499</v>
      </c>
    </row>
    <row r="515" spans="2:4" x14ac:dyDescent="0.35">
      <c r="B515" s="172" t="s">
        <v>441</v>
      </c>
      <c r="C515" s="241">
        <v>2.5</v>
      </c>
      <c r="D515" s="231">
        <v>1.3</v>
      </c>
    </row>
    <row r="516" spans="2:4" x14ac:dyDescent="0.35">
      <c r="B516" s="172" t="s">
        <v>442</v>
      </c>
      <c r="C516" s="241">
        <v>1.3</v>
      </c>
      <c r="D516" s="231">
        <v>23.6</v>
      </c>
    </row>
    <row r="517" spans="2:4" x14ac:dyDescent="0.35">
      <c r="B517" s="113" t="s">
        <v>449</v>
      </c>
      <c r="C517" s="242">
        <f>C515+C516</f>
        <v>3.8</v>
      </c>
      <c r="D517" s="243">
        <f>(D515*C515/1000)+D516*C516/1000</f>
        <v>3.3930000000000002E-2</v>
      </c>
    </row>
    <row r="518" spans="2:4" x14ac:dyDescent="0.35">
      <c r="B518" s="113" t="s">
        <v>450</v>
      </c>
      <c r="C518" s="242">
        <f>C515</f>
        <v>2.5</v>
      </c>
      <c r="D518" s="243">
        <f>D515*C515/1000</f>
        <v>3.2499999999999999E-3</v>
      </c>
    </row>
    <row r="519" spans="2:4" x14ac:dyDescent="0.35">
      <c r="B519" s="113" t="s">
        <v>451</v>
      </c>
      <c r="C519" s="242">
        <f>C516</f>
        <v>1.3</v>
      </c>
      <c r="D519" s="243">
        <f>D516*C516/1000</f>
        <v>3.0680000000000002E-2</v>
      </c>
    </row>
    <row r="521" spans="2:4" x14ac:dyDescent="0.35">
      <c r="B521" s="245" t="str">
        <f>$D$100</f>
        <v>Evacuation mécanique avec racleurs en V</v>
      </c>
    </row>
    <row r="522" spans="2:4" x14ac:dyDescent="0.35">
      <c r="B522" s="113" t="s">
        <v>500</v>
      </c>
      <c r="C522" s="247">
        <f>D519/D517</f>
        <v>0.90421455938697315</v>
      </c>
    </row>
    <row r="523" spans="2:4" x14ac:dyDescent="0.35">
      <c r="B523" s="113" t="s">
        <v>501</v>
      </c>
      <c r="C523" s="247">
        <f>1-C522</f>
        <v>9.5785440613026851E-2</v>
      </c>
    </row>
    <row r="525" spans="2:4" x14ac:dyDescent="0.35">
      <c r="B525" s="51" t="s">
        <v>504</v>
      </c>
    </row>
    <row r="527" spans="2:4" x14ac:dyDescent="0.35">
      <c r="C527" s="245" t="s">
        <v>505</v>
      </c>
      <c r="D527" s="245" t="s">
        <v>506</v>
      </c>
    </row>
    <row r="528" spans="2:4" x14ac:dyDescent="0.35">
      <c r="B528" s="268" t="s">
        <v>4</v>
      </c>
      <c r="C528" s="273">
        <v>1</v>
      </c>
      <c r="D528" s="247">
        <f t="shared" ref="D528:D530" si="27">1-C528</f>
        <v>0</v>
      </c>
    </row>
    <row r="529" spans="2:4" x14ac:dyDescent="0.35">
      <c r="B529" s="268" t="s">
        <v>5</v>
      </c>
      <c r="C529" s="273">
        <v>1</v>
      </c>
      <c r="D529" s="247">
        <f t="shared" si="27"/>
        <v>0</v>
      </c>
    </row>
    <row r="530" spans="2:4" x14ac:dyDescent="0.35">
      <c r="B530" s="268" t="s">
        <v>338</v>
      </c>
      <c r="C530" s="273">
        <v>1</v>
      </c>
      <c r="D530" s="247">
        <f t="shared" si="27"/>
        <v>0</v>
      </c>
    </row>
    <row r="531" spans="2:4" x14ac:dyDescent="0.35">
      <c r="B531" s="268" t="s">
        <v>308</v>
      </c>
      <c r="C531" s="274">
        <f>$C$522</f>
        <v>0.90421455938697315</v>
      </c>
      <c r="D531" s="247">
        <f>1-C531</f>
        <v>9.5785440613026851E-2</v>
      </c>
    </row>
    <row r="532" spans="2:4" x14ac:dyDescent="0.35">
      <c r="B532" s="268" t="s">
        <v>306</v>
      </c>
      <c r="C532" s="274">
        <f>$C$522</f>
        <v>0.90421455938697315</v>
      </c>
      <c r="D532" s="247">
        <f>1-C532</f>
        <v>9.5785440613026851E-2</v>
      </c>
    </row>
    <row r="533" spans="2:4" x14ac:dyDescent="0.35">
      <c r="B533" s="268" t="s">
        <v>292</v>
      </c>
      <c r="C533" s="273">
        <v>0</v>
      </c>
      <c r="D533" s="247">
        <v>1</v>
      </c>
    </row>
    <row r="534" spans="2:4" x14ac:dyDescent="0.35">
      <c r="B534" s="268" t="s">
        <v>291</v>
      </c>
      <c r="C534" s="273">
        <v>0</v>
      </c>
      <c r="D534" s="247">
        <v>1</v>
      </c>
    </row>
    <row r="535" spans="2:4" x14ac:dyDescent="0.35">
      <c r="B535" s="268" t="s">
        <v>307</v>
      </c>
      <c r="C535" s="274">
        <f>$C$522</f>
        <v>0.90421455938697315</v>
      </c>
      <c r="D535" s="247">
        <f>1-C535</f>
        <v>9.5785440613026851E-2</v>
      </c>
    </row>
    <row r="537" spans="2:4" x14ac:dyDescent="0.35">
      <c r="B537" s="239" t="s">
        <v>245</v>
      </c>
    </row>
    <row r="538" spans="2:4" x14ac:dyDescent="0.35">
      <c r="B538" s="239"/>
    </row>
    <row r="539" spans="2:4" x14ac:dyDescent="0.35">
      <c r="B539" s="45" t="s">
        <v>246</v>
      </c>
      <c r="C539" s="44">
        <v>365</v>
      </c>
    </row>
    <row r="540" spans="2:4" x14ac:dyDescent="0.35">
      <c r="B540" s="45" t="s">
        <v>247</v>
      </c>
      <c r="C540" s="44">
        <v>0.67</v>
      </c>
    </row>
    <row r="542" spans="2:4" x14ac:dyDescent="0.35">
      <c r="B542" s="239" t="s">
        <v>532</v>
      </c>
    </row>
    <row r="543" spans="2:4" x14ac:dyDescent="0.35">
      <c r="C543" s="172" t="s">
        <v>328</v>
      </c>
    </row>
    <row r="544" spans="2:4" x14ac:dyDescent="0.35">
      <c r="B544" s="268" t="s">
        <v>291</v>
      </c>
      <c r="C544" s="44">
        <f>1-0.79</f>
        <v>0.20999999999999996</v>
      </c>
      <c r="D544" s="51" t="s">
        <v>672</v>
      </c>
    </row>
    <row r="545" spans="1:6" x14ac:dyDescent="0.35">
      <c r="B545" s="268" t="s">
        <v>307</v>
      </c>
      <c r="C545" s="44">
        <f>1-0.79</f>
        <v>0.20999999999999996</v>
      </c>
      <c r="D545" s="84"/>
    </row>
    <row r="546" spans="1:6" x14ac:dyDescent="0.35">
      <c r="B546" s="268" t="s">
        <v>306</v>
      </c>
      <c r="C546" s="275">
        <f>3.4/18.9</f>
        <v>0.17989417989417991</v>
      </c>
      <c r="D546" s="162" t="s">
        <v>511</v>
      </c>
    </row>
    <row r="547" spans="1:6" x14ac:dyDescent="0.35">
      <c r="B547" s="268" t="s">
        <v>292</v>
      </c>
      <c r="C547" s="275">
        <f>3.4/18.9</f>
        <v>0.17989417989417991</v>
      </c>
      <c r="D547" s="162" t="s">
        <v>511</v>
      </c>
    </row>
    <row r="549" spans="1:6" s="202" customFormat="1" x14ac:dyDescent="0.35">
      <c r="A549" s="201" t="s">
        <v>251</v>
      </c>
    </row>
    <row r="551" spans="1:6" x14ac:dyDescent="0.35">
      <c r="B551" s="51" t="s">
        <v>282</v>
      </c>
    </row>
    <row r="552" spans="1:6" x14ac:dyDescent="0.35">
      <c r="D552" s="239"/>
    </row>
    <row r="553" spans="1:6" ht="21.75" customHeight="1" x14ac:dyDescent="0.35">
      <c r="C553" s="488" t="s">
        <v>557</v>
      </c>
      <c r="D553" s="489"/>
      <c r="E553" s="488" t="s">
        <v>558</v>
      </c>
      <c r="F553" s="489"/>
    </row>
    <row r="554" spans="1:6" x14ac:dyDescent="0.35">
      <c r="B554" s="136" t="s">
        <v>36</v>
      </c>
      <c r="C554" s="136" t="s">
        <v>3</v>
      </c>
      <c r="D554" s="136" t="s">
        <v>14</v>
      </c>
      <c r="E554" s="136" t="s">
        <v>3</v>
      </c>
      <c r="F554" s="136" t="s">
        <v>14</v>
      </c>
    </row>
    <row r="555" spans="1:6" x14ac:dyDescent="0.35">
      <c r="B555" s="236" t="s">
        <v>46</v>
      </c>
      <c r="C555" s="276">
        <v>0</v>
      </c>
      <c r="D555" s="276">
        <v>0.16</v>
      </c>
      <c r="E555" s="276">
        <v>0</v>
      </c>
      <c r="F555" s="276">
        <v>0.36</v>
      </c>
    </row>
    <row r="556" spans="1:6" x14ac:dyDescent="0.35">
      <c r="B556" s="236" t="s">
        <v>47</v>
      </c>
      <c r="C556" s="276">
        <v>0.37</v>
      </c>
      <c r="D556" s="276">
        <v>0.31</v>
      </c>
      <c r="E556" s="276">
        <v>0.83</v>
      </c>
      <c r="F556" s="276">
        <v>0.7</v>
      </c>
    </row>
    <row r="557" spans="1:6" x14ac:dyDescent="0.35">
      <c r="B557" s="236" t="s">
        <v>48</v>
      </c>
      <c r="C557" s="276">
        <v>0.8</v>
      </c>
      <c r="D557" s="276">
        <v>0.61</v>
      </c>
      <c r="E557" s="276">
        <v>1.77</v>
      </c>
      <c r="F557" s="276">
        <v>1.36</v>
      </c>
    </row>
    <row r="558" spans="1:6" x14ac:dyDescent="0.35">
      <c r="B558" s="236" t="s">
        <v>49</v>
      </c>
      <c r="C558" s="276">
        <v>0.8</v>
      </c>
      <c r="D558" s="276">
        <v>0.61</v>
      </c>
      <c r="E558" s="276">
        <v>1.77</v>
      </c>
      <c r="F558" s="276">
        <v>1.36</v>
      </c>
    </row>
    <row r="559" spans="1:6" x14ac:dyDescent="0.35">
      <c r="B559" s="236" t="s">
        <v>50</v>
      </c>
      <c r="C559" s="276">
        <v>0.8</v>
      </c>
      <c r="D559" s="276">
        <v>0.61</v>
      </c>
      <c r="E559" s="276">
        <v>1.77</v>
      </c>
      <c r="F559" s="276">
        <v>1.36</v>
      </c>
    </row>
    <row r="560" spans="1:6" x14ac:dyDescent="0.35">
      <c r="B560" s="236" t="s">
        <v>51</v>
      </c>
      <c r="C560" s="276">
        <v>0.37</v>
      </c>
      <c r="D560" s="276">
        <v>0.31</v>
      </c>
      <c r="E560" s="276">
        <v>0.83</v>
      </c>
      <c r="F560" s="276">
        <v>0.7</v>
      </c>
    </row>
    <row r="561" spans="2:6" x14ac:dyDescent="0.35">
      <c r="B561" s="236" t="s">
        <v>52</v>
      </c>
      <c r="C561" s="276">
        <v>0.8</v>
      </c>
      <c r="D561" s="276">
        <v>0.61</v>
      </c>
      <c r="E561" s="276">
        <v>1.77</v>
      </c>
      <c r="F561" s="276">
        <v>1.36</v>
      </c>
    </row>
    <row r="563" spans="2:6" x14ac:dyDescent="0.35">
      <c r="B563" s="277" t="s">
        <v>508</v>
      </c>
    </row>
    <row r="564" spans="2:6" x14ac:dyDescent="0.35">
      <c r="C564" s="240" t="s">
        <v>343</v>
      </c>
    </row>
    <row r="565" spans="2:6" x14ac:dyDescent="0.35">
      <c r="B565" s="232" t="s">
        <v>60</v>
      </c>
      <c r="C565" s="344">
        <v>1</v>
      </c>
    </row>
    <row r="566" spans="2:6" x14ac:dyDescent="0.35">
      <c r="B566" s="232" t="s">
        <v>334</v>
      </c>
      <c r="C566" s="344">
        <v>1</v>
      </c>
    </row>
    <row r="567" spans="2:6" x14ac:dyDescent="0.35">
      <c r="B567" s="232" t="s">
        <v>335</v>
      </c>
      <c r="C567" s="344">
        <v>1</v>
      </c>
    </row>
    <row r="568" spans="2:6" x14ac:dyDescent="0.35">
      <c r="B568" s="232" t="s">
        <v>303</v>
      </c>
      <c r="C568" s="344">
        <v>0.7</v>
      </c>
    </row>
    <row r="569" spans="2:6" x14ac:dyDescent="0.35">
      <c r="B569" s="232" t="s">
        <v>703</v>
      </c>
      <c r="C569" s="344">
        <v>1</v>
      </c>
    </row>
    <row r="571" spans="2:6" x14ac:dyDescent="0.35">
      <c r="C571" s="240" t="s">
        <v>344</v>
      </c>
    </row>
    <row r="572" spans="2:6" x14ac:dyDescent="0.35">
      <c r="B572" s="232" t="s">
        <v>676</v>
      </c>
      <c r="C572" s="276">
        <v>0.3</v>
      </c>
    </row>
    <row r="573" spans="2:6" x14ac:dyDescent="0.35">
      <c r="B573" s="232" t="s">
        <v>677</v>
      </c>
      <c r="C573" s="276">
        <v>0.3</v>
      </c>
    </row>
    <row r="574" spans="2:6" x14ac:dyDescent="0.35">
      <c r="B574" s="232" t="s">
        <v>678</v>
      </c>
      <c r="C574" s="276">
        <v>0.3</v>
      </c>
    </row>
    <row r="575" spans="2:6" x14ac:dyDescent="0.35">
      <c r="B575" s="232" t="s">
        <v>679</v>
      </c>
      <c r="C575" s="276">
        <v>0.3</v>
      </c>
    </row>
    <row r="576" spans="2:6" x14ac:dyDescent="0.35">
      <c r="B576" s="232" t="s">
        <v>680</v>
      </c>
      <c r="C576" s="276">
        <v>1</v>
      </c>
    </row>
    <row r="579" spans="1:4" s="202" customFormat="1" x14ac:dyDescent="0.35">
      <c r="A579" s="201" t="s">
        <v>17</v>
      </c>
    </row>
    <row r="581" spans="1:4" x14ac:dyDescent="0.35">
      <c r="B581" s="209"/>
      <c r="C581" s="278" t="s">
        <v>25</v>
      </c>
    </row>
    <row r="582" spans="1:4" x14ac:dyDescent="0.35">
      <c r="B582" s="278" t="s">
        <v>20</v>
      </c>
      <c r="C582" s="279"/>
    </row>
    <row r="583" spans="1:4" x14ac:dyDescent="0.35">
      <c r="B583" s="280" t="s">
        <v>24</v>
      </c>
      <c r="C583" s="281"/>
    </row>
    <row r="584" spans="1:4" x14ac:dyDescent="0.35">
      <c r="B584" s="282" t="s">
        <v>559</v>
      </c>
      <c r="C584" s="211">
        <v>0</v>
      </c>
    </row>
    <row r="585" spans="1:4" x14ac:dyDescent="0.35">
      <c r="B585" s="282" t="s">
        <v>560</v>
      </c>
      <c r="C585" s="211">
        <v>5.0000000000000001E-3</v>
      </c>
    </row>
    <row r="586" spans="1:4" x14ac:dyDescent="0.35">
      <c r="B586" s="283" t="s">
        <v>83</v>
      </c>
      <c r="C586" s="211">
        <v>5.0000000000000001E-3</v>
      </c>
      <c r="D586" s="248"/>
    </row>
    <row r="587" spans="1:4" x14ac:dyDescent="0.35">
      <c r="B587" s="283" t="s">
        <v>84</v>
      </c>
      <c r="C587" s="211">
        <v>6.0000000000000001E-3</v>
      </c>
      <c r="D587" s="248"/>
    </row>
    <row r="588" spans="1:4" x14ac:dyDescent="0.35">
      <c r="B588" s="280" t="s">
        <v>21</v>
      </c>
      <c r="C588" s="211">
        <v>0.01</v>
      </c>
      <c r="D588" s="248"/>
    </row>
    <row r="589" spans="1:4" x14ac:dyDescent="0.35">
      <c r="B589" s="278" t="s">
        <v>22</v>
      </c>
      <c r="C589" s="204"/>
      <c r="D589" s="248"/>
    </row>
    <row r="590" spans="1:4" x14ac:dyDescent="0.35">
      <c r="B590" s="280" t="s">
        <v>23</v>
      </c>
      <c r="C590" s="211">
        <v>0.01</v>
      </c>
    </row>
    <row r="591" spans="1:4" x14ac:dyDescent="0.35">
      <c r="B591" s="280" t="s">
        <v>423</v>
      </c>
      <c r="C591" s="211">
        <v>7.4999999999999997E-3</v>
      </c>
    </row>
    <row r="592" spans="1:4" x14ac:dyDescent="0.35">
      <c r="B592" s="280" t="s">
        <v>16</v>
      </c>
      <c r="C592" s="204"/>
    </row>
    <row r="593" spans="1:3" x14ac:dyDescent="0.35">
      <c r="B593" s="280" t="s">
        <v>424</v>
      </c>
      <c r="C593" s="284">
        <v>0.12</v>
      </c>
    </row>
    <row r="594" spans="1:3" x14ac:dyDescent="0.35">
      <c r="B594" s="285" t="s">
        <v>534</v>
      </c>
    </row>
    <row r="595" spans="1:3" x14ac:dyDescent="0.35">
      <c r="B595" s="280" t="s">
        <v>535</v>
      </c>
      <c r="C595" s="286">
        <v>0.3</v>
      </c>
    </row>
    <row r="596" spans="1:3" x14ac:dyDescent="0.35">
      <c r="B596" s="325" t="s">
        <v>649</v>
      </c>
      <c r="C596" s="326">
        <v>0.4</v>
      </c>
    </row>
    <row r="598" spans="1:3" x14ac:dyDescent="0.35">
      <c r="A598" s="50" t="s">
        <v>616</v>
      </c>
    </row>
    <row r="600" spans="1:3" x14ac:dyDescent="0.35">
      <c r="B600" s="172" t="s">
        <v>37</v>
      </c>
      <c r="C600" s="276">
        <f>$C$586</f>
        <v>5.0000000000000001E-3</v>
      </c>
    </row>
    <row r="601" spans="1:3" x14ac:dyDescent="0.35">
      <c r="B601" s="172" t="s">
        <v>304</v>
      </c>
      <c r="C601" s="276">
        <f t="shared" ref="C601:C602" si="28">$C$586</f>
        <v>5.0000000000000001E-3</v>
      </c>
    </row>
    <row r="602" spans="1:3" x14ac:dyDescent="0.35">
      <c r="B602" s="172" t="s">
        <v>305</v>
      </c>
      <c r="C602" s="276">
        <f t="shared" si="28"/>
        <v>5.0000000000000001E-3</v>
      </c>
    </row>
    <row r="603" spans="1:3" x14ac:dyDescent="0.35">
      <c r="B603" s="172" t="str">
        <f t="shared" ref="B603:B608" si="29">D172</f>
        <v>Fosse non couverte (extérieure)</v>
      </c>
      <c r="C603" s="276">
        <f>$C$584</f>
        <v>0</v>
      </c>
    </row>
    <row r="604" spans="1:3" x14ac:dyDescent="0.35">
      <c r="B604" s="172" t="str">
        <f t="shared" si="29"/>
        <v>Fosse non couverte alimentée par le bas (extérieure)</v>
      </c>
      <c r="C604" s="276">
        <f>$C$585</f>
        <v>5.0000000000000001E-3</v>
      </c>
    </row>
    <row r="605" spans="1:3" x14ac:dyDescent="0.35">
      <c r="B605" s="172" t="str">
        <f t="shared" si="29"/>
        <v>Couvertures rigide et souple</v>
      </c>
      <c r="C605" s="276">
        <f>$C$585</f>
        <v>5.0000000000000001E-3</v>
      </c>
    </row>
    <row r="606" spans="1:3" x14ac:dyDescent="0.35">
      <c r="B606" s="172" t="str">
        <f t="shared" si="29"/>
        <v>Croûte naturelle, paille, balles en plastique, matériaux légers en vrac</v>
      </c>
      <c r="C606" s="276">
        <f t="shared" ref="C606:C607" si="30">$C$585</f>
        <v>5.0000000000000001E-3</v>
      </c>
    </row>
    <row r="607" spans="1:3" x14ac:dyDescent="0.35">
      <c r="B607" s="172" t="str">
        <f t="shared" si="29"/>
        <v>Couvertures souples flottantes, plaques géométriques en plastique, couvertures gonflables, feuilles de plastique souples</v>
      </c>
      <c r="C607" s="276">
        <f t="shared" si="30"/>
        <v>5.0000000000000001E-3</v>
      </c>
    </row>
    <row r="608" spans="1:3" x14ac:dyDescent="0.35">
      <c r="B608" s="172" t="str">
        <f t="shared" si="29"/>
        <v>Pas de stockage</v>
      </c>
      <c r="C608" s="276">
        <f>0</f>
        <v>0</v>
      </c>
    </row>
    <row r="612" spans="1:5" x14ac:dyDescent="0.35">
      <c r="A612" s="50" t="s">
        <v>740</v>
      </c>
    </row>
    <row r="614" spans="1:5" x14ac:dyDescent="0.35">
      <c r="B614" s="172" t="s">
        <v>738</v>
      </c>
      <c r="C614" s="172">
        <v>2</v>
      </c>
    </row>
    <row r="615" spans="1:5" x14ac:dyDescent="0.35">
      <c r="B615" s="172" t="s">
        <v>773</v>
      </c>
      <c r="C615" s="172">
        <v>3</v>
      </c>
    </row>
    <row r="616" spans="1:5" x14ac:dyDescent="0.35">
      <c r="B616" s="172" t="s">
        <v>736</v>
      </c>
      <c r="C616" s="172">
        <v>4</v>
      </c>
    </row>
    <row r="619" spans="1:5" x14ac:dyDescent="0.35">
      <c r="A619" s="51" t="s">
        <v>737</v>
      </c>
    </row>
    <row r="620" spans="1:5" x14ac:dyDescent="0.35">
      <c r="C620" s="476" t="s">
        <v>739</v>
      </c>
      <c r="D620" s="483"/>
      <c r="E620" s="477"/>
    </row>
    <row r="621" spans="1:5" x14ac:dyDescent="0.35">
      <c r="B621" s="193" t="s">
        <v>735</v>
      </c>
      <c r="C621" s="368" t="str">
        <f>B614</f>
        <v>Générique</v>
      </c>
      <c r="D621" s="368" t="str">
        <f>B615</f>
        <v>Existant 30.a.0</v>
      </c>
      <c r="E621" s="368" t="str">
        <f>B616</f>
        <v>Paille</v>
      </c>
    </row>
    <row r="622" spans="1:5" x14ac:dyDescent="0.35">
      <c r="B622" s="172">
        <v>30</v>
      </c>
      <c r="C622" s="367">
        <v>0.53</v>
      </c>
      <c r="D622" s="367">
        <v>0.7</v>
      </c>
      <c r="E622" s="367">
        <v>0.7</v>
      </c>
    </row>
    <row r="623" spans="1:5" x14ac:dyDescent="0.35">
      <c r="B623" s="172">
        <v>31</v>
      </c>
      <c r="C623" s="367">
        <v>0.55300000000000005</v>
      </c>
      <c r="D623" s="367">
        <v>0.73222222222222222</v>
      </c>
      <c r="E623" s="367">
        <v>0.755</v>
      </c>
    </row>
    <row r="624" spans="1:5" x14ac:dyDescent="0.35">
      <c r="B624" s="172">
        <v>32</v>
      </c>
      <c r="C624" s="367">
        <v>0.57600000000000007</v>
      </c>
      <c r="D624" s="367">
        <v>0.76444444444444437</v>
      </c>
      <c r="E624" s="367">
        <v>0.80999999999999994</v>
      </c>
    </row>
    <row r="625" spans="1:5" x14ac:dyDescent="0.35">
      <c r="B625" s="172">
        <v>33</v>
      </c>
      <c r="C625" s="367">
        <v>0.59899999999999998</v>
      </c>
      <c r="D625" s="367">
        <v>0.79666666666666663</v>
      </c>
      <c r="E625" s="367">
        <v>0.86499999999999999</v>
      </c>
    </row>
    <row r="626" spans="1:5" x14ac:dyDescent="0.35">
      <c r="B626" s="172">
        <v>34</v>
      </c>
      <c r="C626" s="367">
        <v>0.622</v>
      </c>
      <c r="D626" s="367">
        <v>0.8288888888888889</v>
      </c>
      <c r="E626" s="367">
        <v>0.91999999999999993</v>
      </c>
    </row>
    <row r="627" spans="1:5" x14ac:dyDescent="0.35">
      <c r="B627" s="172">
        <v>35</v>
      </c>
      <c r="C627" s="367">
        <v>0.64500000000000002</v>
      </c>
      <c r="D627" s="367">
        <v>0.86111111111111116</v>
      </c>
      <c r="E627" s="367">
        <v>0.97499999999999998</v>
      </c>
    </row>
    <row r="630" spans="1:5" x14ac:dyDescent="0.35">
      <c r="A630" s="51" t="s">
        <v>741</v>
      </c>
    </row>
    <row r="632" spans="1:5" x14ac:dyDescent="0.35">
      <c r="B632" s="193" t="s">
        <v>742</v>
      </c>
      <c r="C632" s="368" t="str">
        <f>C621</f>
        <v>Générique</v>
      </c>
      <c r="D632" s="368" t="str">
        <f>D621</f>
        <v>Existant 30.a.0</v>
      </c>
      <c r="E632" s="368" t="str">
        <f>E621</f>
        <v>Paille</v>
      </c>
    </row>
    <row r="633" spans="1:5" x14ac:dyDescent="0.35">
      <c r="B633" s="172" t="s">
        <v>46</v>
      </c>
      <c r="C633" s="367">
        <v>0.53</v>
      </c>
      <c r="D633" s="367">
        <v>0.7</v>
      </c>
      <c r="E633" s="367">
        <v>0.7</v>
      </c>
    </row>
    <row r="634" spans="1:5" x14ac:dyDescent="0.35">
      <c r="B634" s="172" t="s">
        <v>47</v>
      </c>
      <c r="C634" s="367">
        <v>2.6</v>
      </c>
      <c r="D634" s="367">
        <v>3.6</v>
      </c>
      <c r="E634" s="367">
        <v>5.65</v>
      </c>
    </row>
    <row r="635" spans="1:5" x14ac:dyDescent="0.35">
      <c r="B635" s="172" t="s">
        <v>51</v>
      </c>
      <c r="C635" s="372">
        <f>C634</f>
        <v>2.6</v>
      </c>
      <c r="D635" s="372">
        <f t="shared" ref="D635:E635" si="31">D634</f>
        <v>3.6</v>
      </c>
      <c r="E635" s="372">
        <f t="shared" si="31"/>
        <v>5.65</v>
      </c>
    </row>
    <row r="636" spans="1:5" x14ac:dyDescent="0.35">
      <c r="B636" s="172" t="s">
        <v>124</v>
      </c>
      <c r="C636" s="367">
        <v>5.6</v>
      </c>
      <c r="D636" s="367">
        <v>7.5</v>
      </c>
      <c r="E636" s="367">
        <v>5.6</v>
      </c>
    </row>
    <row r="637" spans="1:5" x14ac:dyDescent="0.35">
      <c r="B637" s="172" t="s">
        <v>49</v>
      </c>
      <c r="C637" s="367">
        <v>2.7</v>
      </c>
      <c r="D637" s="367">
        <v>4</v>
      </c>
      <c r="E637" s="367">
        <v>5.2</v>
      </c>
    </row>
    <row r="638" spans="1:5" x14ac:dyDescent="0.35">
      <c r="B638" s="172" t="s">
        <v>48</v>
      </c>
      <c r="C638" s="372">
        <f>C637</f>
        <v>2.7</v>
      </c>
      <c r="D638" s="372">
        <f t="shared" ref="D638:E638" si="32">D637</f>
        <v>4</v>
      </c>
      <c r="E638" s="372">
        <f t="shared" si="32"/>
        <v>5.2</v>
      </c>
    </row>
    <row r="639" spans="1:5" x14ac:dyDescent="0.35">
      <c r="B639" s="172" t="s">
        <v>52</v>
      </c>
      <c r="C639" s="372">
        <f>C638</f>
        <v>2.7</v>
      </c>
      <c r="D639" s="372">
        <f t="shared" ref="D639" si="33">D638</f>
        <v>4</v>
      </c>
      <c r="E639" s="372">
        <f t="shared" ref="E639" si="34">E638</f>
        <v>5.2</v>
      </c>
    </row>
  </sheetData>
  <sortState xmlns:xlrd2="http://schemas.microsoft.com/office/spreadsheetml/2017/richdata2" ref="F7:G28">
    <sortCondition ref="F7:F28"/>
  </sortState>
  <mergeCells count="26">
    <mergeCell ref="C620:E620"/>
    <mergeCell ref="U51:V51"/>
    <mergeCell ref="R58:T58"/>
    <mergeCell ref="U58:V58"/>
    <mergeCell ref="C553:D553"/>
    <mergeCell ref="E553:F553"/>
    <mergeCell ref="A306:C306"/>
    <mergeCell ref="K52:L52"/>
    <mergeCell ref="M52:N52"/>
    <mergeCell ref="E52:F52"/>
    <mergeCell ref="G52:H52"/>
    <mergeCell ref="H483:H484"/>
    <mergeCell ref="C483:C484"/>
    <mergeCell ref="C485:C488"/>
    <mergeCell ref="C489:C492"/>
    <mergeCell ref="B483:B492"/>
    <mergeCell ref="C65:F65"/>
    <mergeCell ref="C71:F71"/>
    <mergeCell ref="C73:F73"/>
    <mergeCell ref="G73:H73"/>
    <mergeCell ref="R51:T51"/>
    <mergeCell ref="H491:H496"/>
    <mergeCell ref="G65:H65"/>
    <mergeCell ref="G71:H71"/>
    <mergeCell ref="H485:H490"/>
    <mergeCell ref="G483:G496"/>
  </mergeCells>
  <dataValidations count="1">
    <dataValidation type="list" allowBlank="1" showInputMessage="1" showErrorMessage="1" sqref="G221:G222" xr:uid="{00000000-0002-0000-0200-000000000000}">
      <formula1>liste_trait_stock_liquide</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142"/>
  <sheetViews>
    <sheetView showGridLines="0" zoomScale="90" zoomScaleNormal="90" workbookViewId="0"/>
  </sheetViews>
  <sheetFormatPr baseColWidth="10" defaultColWidth="11.453125" defaultRowHeight="14.5" x14ac:dyDescent="0.35"/>
  <cols>
    <col min="1" max="1" width="4.1796875" style="15" customWidth="1"/>
    <col min="2" max="2" width="38.7265625" style="18" customWidth="1"/>
    <col min="3" max="3" width="23.453125" style="14" customWidth="1"/>
    <col min="4" max="4" width="30.7265625" style="15" customWidth="1"/>
    <col min="5" max="5" width="28.453125" style="15" customWidth="1"/>
    <col min="6" max="6" width="25.26953125" style="16" customWidth="1"/>
    <col min="7" max="7" width="23.54296875" style="17" customWidth="1"/>
    <col min="8" max="8" width="22.1796875" style="17" customWidth="1"/>
    <col min="9" max="9" width="20.7265625" style="17" customWidth="1"/>
    <col min="10" max="10" width="28.1796875" style="17" customWidth="1"/>
    <col min="11" max="11" width="26" style="17" customWidth="1"/>
    <col min="12" max="12" width="18.54296875" customWidth="1"/>
    <col min="13" max="13" width="16.453125" style="67" hidden="1" customWidth="1"/>
    <col min="14" max="15" width="15.7265625" style="16" hidden="1" customWidth="1"/>
    <col min="16" max="16" width="15.7265625" style="66" hidden="1" customWidth="1"/>
    <col min="17" max="17" width="15.7265625" style="308" hidden="1" customWidth="1"/>
    <col min="18" max="18" width="15.7265625" style="15" hidden="1" customWidth="1"/>
    <col min="19" max="24" width="11.453125" style="15" hidden="1" customWidth="1"/>
    <col min="25" max="26" width="0" style="15" hidden="1" customWidth="1"/>
    <col min="27" max="16384" width="11.453125" style="15"/>
  </cols>
  <sheetData>
    <row r="2" spans="1:25" x14ac:dyDescent="0.35">
      <c r="B2" s="505" t="s">
        <v>10</v>
      </c>
      <c r="C2" s="506"/>
    </row>
    <row r="3" spans="1:25" x14ac:dyDescent="0.35">
      <c r="B3" s="507" t="s">
        <v>9</v>
      </c>
      <c r="C3" s="508"/>
    </row>
    <row r="4" spans="1:25" ht="15" customHeight="1" x14ac:dyDescent="0.35">
      <c r="B4" s="509" t="s">
        <v>419</v>
      </c>
      <c r="C4" s="510"/>
      <c r="L4" s="12"/>
    </row>
    <row r="5" spans="1:25" x14ac:dyDescent="0.35">
      <c r="B5" s="511" t="s">
        <v>539</v>
      </c>
      <c r="C5" s="512"/>
    </row>
    <row r="6" spans="1:25" x14ac:dyDescent="0.35">
      <c r="B6" s="515" t="s">
        <v>537</v>
      </c>
      <c r="C6" s="516"/>
      <c r="L6" s="12"/>
    </row>
    <row r="7" spans="1:25" x14ac:dyDescent="0.35">
      <c r="B7" s="513" t="s">
        <v>330</v>
      </c>
      <c r="C7" s="514"/>
    </row>
    <row r="9" spans="1:25" x14ac:dyDescent="0.35">
      <c r="A9" s="46" t="s">
        <v>285</v>
      </c>
      <c r="B9" s="33"/>
      <c r="C9" s="21"/>
    </row>
    <row r="10" spans="1:25" x14ac:dyDescent="0.35">
      <c r="A10" s="32"/>
      <c r="B10" s="34" t="s">
        <v>45</v>
      </c>
      <c r="C10" s="35"/>
    </row>
    <row r="11" spans="1:25" customFormat="1" x14ac:dyDescent="0.35">
      <c r="M11" s="67"/>
      <c r="N11" s="67"/>
      <c r="O11" s="67"/>
      <c r="P11" s="67"/>
      <c r="Q11" s="308"/>
      <c r="R11" s="308"/>
      <c r="S11" s="308"/>
      <c r="T11" s="308"/>
      <c r="U11" s="308"/>
      <c r="V11" s="308"/>
      <c r="W11" s="308"/>
      <c r="X11" s="308"/>
      <c r="Y11" s="308"/>
    </row>
    <row r="12" spans="1:25" x14ac:dyDescent="0.35">
      <c r="A12" s="46" t="s">
        <v>347</v>
      </c>
      <c r="B12" s="24"/>
      <c r="C12" s="21"/>
    </row>
    <row r="13" spans="1:25" ht="15" customHeight="1" x14ac:dyDescent="0.35">
      <c r="B13" s="24"/>
      <c r="C13" s="500" t="s">
        <v>348</v>
      </c>
      <c r="D13" s="501"/>
      <c r="E13" s="501"/>
      <c r="F13" s="501"/>
      <c r="G13" s="501"/>
      <c r="H13" s="501"/>
      <c r="I13" s="502"/>
    </row>
    <row r="14" spans="1:25" ht="28.15" customHeight="1" x14ac:dyDescent="0.35">
      <c r="A14" s="19"/>
      <c r="B14" s="25" t="s">
        <v>122</v>
      </c>
      <c r="C14" s="22" t="s">
        <v>46</v>
      </c>
      <c r="D14" s="22" t="s">
        <v>768</v>
      </c>
      <c r="E14" s="22" t="s">
        <v>51</v>
      </c>
      <c r="F14" s="22" t="s">
        <v>124</v>
      </c>
      <c r="G14" s="22" t="s">
        <v>49</v>
      </c>
      <c r="H14" s="22" t="s">
        <v>48</v>
      </c>
      <c r="I14" s="22" t="s">
        <v>52</v>
      </c>
    </row>
    <row r="15" spans="1:25" x14ac:dyDescent="0.35">
      <c r="A15" s="29">
        <v>1</v>
      </c>
      <c r="B15" s="386"/>
      <c r="C15" s="60"/>
      <c r="D15" s="60"/>
      <c r="E15" s="60"/>
      <c r="F15" s="60"/>
      <c r="G15" s="60"/>
      <c r="H15" s="60"/>
      <c r="I15" s="60"/>
    </row>
    <row r="16" spans="1:25" x14ac:dyDescent="0.35">
      <c r="A16" s="29">
        <v>2</v>
      </c>
      <c r="B16" s="393"/>
      <c r="C16" s="60"/>
      <c r="D16" s="60"/>
      <c r="E16" s="60"/>
      <c r="F16" s="60"/>
      <c r="G16" s="60"/>
      <c r="H16" s="60"/>
      <c r="I16" s="60"/>
    </row>
    <row r="17" spans="1:9" x14ac:dyDescent="0.35">
      <c r="A17" s="29">
        <v>3</v>
      </c>
      <c r="B17" s="393"/>
      <c r="C17" s="60"/>
      <c r="D17" s="60"/>
      <c r="E17" s="60"/>
      <c r="F17" s="60"/>
      <c r="G17" s="60"/>
      <c r="H17" s="60"/>
      <c r="I17" s="60"/>
    </row>
    <row r="18" spans="1:9" x14ac:dyDescent="0.35">
      <c r="A18" s="29">
        <v>4</v>
      </c>
      <c r="B18" s="393"/>
      <c r="C18" s="60"/>
      <c r="D18" s="60"/>
      <c r="E18" s="60"/>
      <c r="F18" s="60"/>
      <c r="G18" s="60"/>
      <c r="H18" s="60"/>
      <c r="I18" s="60"/>
    </row>
    <row r="19" spans="1:9" x14ac:dyDescent="0.35">
      <c r="A19" s="29">
        <v>5</v>
      </c>
      <c r="B19" s="393"/>
      <c r="C19" s="60"/>
      <c r="D19" s="60"/>
      <c r="E19" s="60"/>
      <c r="F19" s="60"/>
      <c r="G19" s="60"/>
      <c r="H19" s="60"/>
      <c r="I19" s="60"/>
    </row>
    <row r="20" spans="1:9" x14ac:dyDescent="0.35">
      <c r="A20" s="29">
        <v>6</v>
      </c>
      <c r="B20" s="393"/>
      <c r="C20" s="60"/>
      <c r="D20" s="60"/>
      <c r="E20" s="60"/>
      <c r="F20" s="60"/>
      <c r="G20" s="60"/>
      <c r="H20" s="60"/>
      <c r="I20" s="60"/>
    </row>
    <row r="21" spans="1:9" x14ac:dyDescent="0.35">
      <c r="A21" s="29">
        <v>7</v>
      </c>
      <c r="B21" s="393"/>
      <c r="C21" s="60"/>
      <c r="D21" s="60"/>
      <c r="E21" s="60"/>
      <c r="F21" s="60"/>
      <c r="G21" s="60"/>
      <c r="H21" s="60"/>
      <c r="I21" s="60"/>
    </row>
    <row r="22" spans="1:9" x14ac:dyDescent="0.35">
      <c r="A22" s="29">
        <v>8</v>
      </c>
      <c r="B22" s="393"/>
      <c r="C22" s="60"/>
      <c r="D22" s="60"/>
      <c r="E22" s="60"/>
      <c r="F22" s="60"/>
      <c r="G22" s="60"/>
      <c r="H22" s="60"/>
      <c r="I22" s="60"/>
    </row>
    <row r="23" spans="1:9" x14ac:dyDescent="0.35">
      <c r="A23" s="29">
        <v>9</v>
      </c>
      <c r="B23" s="393"/>
      <c r="C23" s="60"/>
      <c r="D23" s="60"/>
      <c r="E23" s="60"/>
      <c r="F23" s="60"/>
      <c r="G23" s="60"/>
      <c r="H23" s="60"/>
      <c r="I23" s="60"/>
    </row>
    <row r="24" spans="1:9" x14ac:dyDescent="0.35">
      <c r="A24" s="29">
        <v>10</v>
      </c>
      <c r="B24" s="393"/>
      <c r="C24" s="60"/>
      <c r="D24" s="60"/>
      <c r="E24" s="60"/>
      <c r="F24" s="60"/>
      <c r="G24" s="60"/>
      <c r="H24" s="60"/>
      <c r="I24" s="60"/>
    </row>
    <row r="25" spans="1:9" x14ac:dyDescent="0.35">
      <c r="A25" s="29">
        <v>11</v>
      </c>
      <c r="B25" s="393"/>
      <c r="C25" s="60"/>
      <c r="D25" s="60"/>
      <c r="E25" s="60"/>
      <c r="F25" s="60"/>
      <c r="G25" s="60"/>
      <c r="H25" s="60"/>
      <c r="I25" s="60"/>
    </row>
    <row r="26" spans="1:9" x14ac:dyDescent="0.35">
      <c r="A26" s="29">
        <v>12</v>
      </c>
      <c r="B26" s="393"/>
      <c r="C26" s="60"/>
      <c r="D26" s="60"/>
      <c r="E26" s="60"/>
      <c r="F26" s="60"/>
      <c r="G26" s="60"/>
      <c r="H26" s="60"/>
      <c r="I26" s="60"/>
    </row>
    <row r="27" spans="1:9" x14ac:dyDescent="0.35">
      <c r="A27" s="29">
        <v>13</v>
      </c>
      <c r="B27" s="393"/>
      <c r="C27" s="60"/>
      <c r="D27" s="60"/>
      <c r="E27" s="60"/>
      <c r="F27" s="60"/>
      <c r="G27" s="60"/>
      <c r="H27" s="60"/>
      <c r="I27" s="60"/>
    </row>
    <row r="28" spans="1:9" x14ac:dyDescent="0.35">
      <c r="A28" s="29">
        <v>14</v>
      </c>
      <c r="B28" s="393"/>
      <c r="C28" s="60"/>
      <c r="D28" s="60"/>
      <c r="E28" s="60"/>
      <c r="F28" s="60"/>
      <c r="G28" s="60"/>
      <c r="H28" s="60"/>
      <c r="I28" s="60"/>
    </row>
    <row r="29" spans="1:9" x14ac:dyDescent="0.35">
      <c r="A29" s="29">
        <v>15</v>
      </c>
      <c r="B29" s="393"/>
      <c r="C29" s="60"/>
      <c r="D29" s="60"/>
      <c r="E29" s="60"/>
      <c r="F29" s="60"/>
      <c r="G29" s="60"/>
      <c r="H29" s="60"/>
      <c r="I29" s="60"/>
    </row>
    <row r="30" spans="1:9" x14ac:dyDescent="0.35">
      <c r="A30" s="29">
        <v>16</v>
      </c>
      <c r="B30" s="393"/>
      <c r="C30" s="60"/>
      <c r="D30" s="60"/>
      <c r="E30" s="60"/>
      <c r="F30" s="60"/>
      <c r="G30" s="60"/>
      <c r="H30" s="60"/>
      <c r="I30" s="60"/>
    </row>
    <row r="31" spans="1:9" x14ac:dyDescent="0.35">
      <c r="A31" s="29">
        <v>17</v>
      </c>
      <c r="B31" s="393"/>
      <c r="C31" s="60"/>
      <c r="D31" s="60"/>
      <c r="E31" s="60"/>
      <c r="F31" s="60"/>
      <c r="G31" s="60"/>
      <c r="H31" s="60"/>
      <c r="I31" s="60"/>
    </row>
    <row r="32" spans="1:9" x14ac:dyDescent="0.35">
      <c r="A32" s="29">
        <v>18</v>
      </c>
      <c r="B32" s="393"/>
      <c r="C32" s="60"/>
      <c r="D32" s="60"/>
      <c r="E32" s="60"/>
      <c r="F32" s="60"/>
      <c r="G32" s="60"/>
      <c r="H32" s="60"/>
      <c r="I32" s="60"/>
    </row>
    <row r="33" spans="1:15" x14ac:dyDescent="0.35">
      <c r="A33" s="29">
        <v>19</v>
      </c>
      <c r="B33" s="393"/>
      <c r="C33" s="60"/>
      <c r="D33" s="60"/>
      <c r="E33" s="60"/>
      <c r="F33" s="60"/>
      <c r="G33" s="60"/>
      <c r="H33" s="60"/>
      <c r="I33" s="60"/>
    </row>
    <row r="34" spans="1:15" x14ac:dyDescent="0.35">
      <c r="A34" s="29">
        <v>20</v>
      </c>
      <c r="B34" s="393"/>
      <c r="C34" s="60"/>
      <c r="D34" s="60"/>
      <c r="E34" s="60"/>
      <c r="F34" s="60"/>
      <c r="G34" s="60"/>
      <c r="H34" s="60"/>
      <c r="I34" s="60"/>
    </row>
    <row r="35" spans="1:15" x14ac:dyDescent="0.35">
      <c r="A35" s="32"/>
      <c r="B35" s="58"/>
      <c r="C35" s="59"/>
      <c r="D35" s="59"/>
      <c r="E35" s="59"/>
      <c r="F35" s="59"/>
      <c r="G35" s="59"/>
      <c r="H35" s="59"/>
      <c r="I35" s="59"/>
    </row>
    <row r="36" spans="1:15" x14ac:dyDescent="0.35">
      <c r="A36" s="46" t="s">
        <v>368</v>
      </c>
      <c r="B36" s="15"/>
      <c r="C36" s="15"/>
      <c r="F36" s="15"/>
      <c r="G36" s="15"/>
      <c r="H36" s="15"/>
      <c r="I36" s="15"/>
      <c r="J36" s="15"/>
      <c r="K36" s="15"/>
      <c r="N36" s="66"/>
      <c r="O36" s="66"/>
    </row>
    <row r="37" spans="1:15" ht="28.15" customHeight="1" x14ac:dyDescent="0.35">
      <c r="A37" s="19"/>
      <c r="B37" s="20"/>
      <c r="C37" s="22" t="s">
        <v>46</v>
      </c>
      <c r="D37" s="22" t="s">
        <v>768</v>
      </c>
      <c r="E37" s="22" t="s">
        <v>51</v>
      </c>
      <c r="F37" s="22" t="s">
        <v>124</v>
      </c>
      <c r="G37" s="22" t="s">
        <v>49</v>
      </c>
      <c r="H37" s="22" t="s">
        <v>48</v>
      </c>
      <c r="I37" s="22" t="s">
        <v>52</v>
      </c>
    </row>
    <row r="38" spans="1:15" x14ac:dyDescent="0.35">
      <c r="A38" s="19"/>
      <c r="B38" s="47" t="s">
        <v>62</v>
      </c>
      <c r="C38" s="65">
        <f>Emissions!C18</f>
        <v>0</v>
      </c>
      <c r="D38" s="65">
        <f>Emissions!D18</f>
        <v>0</v>
      </c>
      <c r="E38" s="65">
        <f>Emissions!E18</f>
        <v>0</v>
      </c>
      <c r="F38" s="65">
        <f>Emissions!F18</f>
        <v>0</v>
      </c>
      <c r="G38" s="65">
        <f>Emissions!G18</f>
        <v>0</v>
      </c>
      <c r="H38" s="65">
        <f>Emissions!H18</f>
        <v>0</v>
      </c>
      <c r="I38" s="65">
        <f>Emissions!I18</f>
        <v>0</v>
      </c>
    </row>
    <row r="39" spans="1:15" x14ac:dyDescent="0.35">
      <c r="A39" s="19"/>
      <c r="B39" s="47" t="s">
        <v>331</v>
      </c>
      <c r="C39" s="61"/>
      <c r="D39" s="61"/>
      <c r="E39" s="61"/>
      <c r="F39" s="61"/>
      <c r="G39" s="61"/>
      <c r="H39" s="61"/>
      <c r="I39" s="61"/>
    </row>
    <row r="40" spans="1:15" x14ac:dyDescent="0.35">
      <c r="A40" s="19"/>
      <c r="B40" s="47" t="s">
        <v>63</v>
      </c>
      <c r="C40" s="62"/>
      <c r="D40" s="62"/>
      <c r="E40" s="62"/>
      <c r="F40" s="62"/>
      <c r="G40" s="62"/>
      <c r="H40" s="62"/>
      <c r="I40" s="62"/>
    </row>
    <row r="41" spans="1:15" x14ac:dyDescent="0.35">
      <c r="A41" s="19"/>
      <c r="B41" s="47" t="s">
        <v>64</v>
      </c>
      <c r="C41" s="48"/>
      <c r="D41" s="48"/>
      <c r="E41" s="48"/>
      <c r="F41" s="48"/>
      <c r="G41" s="48"/>
      <c r="H41" s="48"/>
      <c r="I41" s="48"/>
    </row>
    <row r="42" spans="1:15" x14ac:dyDescent="0.35">
      <c r="A42" s="19"/>
      <c r="B42" s="47" t="s">
        <v>777</v>
      </c>
      <c r="C42" s="390"/>
      <c r="D42" s="48"/>
      <c r="E42" s="390"/>
      <c r="F42" s="390"/>
      <c r="G42" s="390"/>
      <c r="H42" s="390"/>
      <c r="I42" s="390"/>
      <c r="L42" s="12"/>
    </row>
    <row r="43" spans="1:15" ht="22.9" customHeight="1" x14ac:dyDescent="0.35">
      <c r="A43" s="19"/>
      <c r="B43" s="349" t="s">
        <v>721</v>
      </c>
      <c r="C43" s="56" t="str">
        <f>Emissions!C35</f>
        <v/>
      </c>
      <c r="D43" s="56" t="str">
        <f>Emissions!D35</f>
        <v/>
      </c>
      <c r="E43" s="56" t="str">
        <f>Emissions!E35</f>
        <v/>
      </c>
      <c r="F43" s="56" t="str">
        <f>Emissions!F35</f>
        <v/>
      </c>
      <c r="G43" s="56" t="str">
        <f>Emissions!G35</f>
        <v/>
      </c>
      <c r="H43" s="56" t="str">
        <f>Emissions!H35</f>
        <v/>
      </c>
      <c r="I43" s="56" t="str">
        <f>Emissions!I35</f>
        <v/>
      </c>
    </row>
    <row r="44" spans="1:15" x14ac:dyDescent="0.35">
      <c r="A44" s="19"/>
      <c r="B44" s="47" t="s">
        <v>704</v>
      </c>
      <c r="C44" s="49"/>
      <c r="D44" s="49"/>
      <c r="E44" s="49"/>
      <c r="F44" s="49"/>
      <c r="G44" s="49"/>
      <c r="H44" s="49"/>
      <c r="I44" s="49"/>
    </row>
    <row r="45" spans="1:15" ht="19.899999999999999" customHeight="1" x14ac:dyDescent="0.35"/>
    <row r="46" spans="1:15" ht="19.899999999999999" customHeight="1" x14ac:dyDescent="0.35">
      <c r="A46" s="295" t="s">
        <v>573</v>
      </c>
      <c r="E46" s="17"/>
      <c r="F46" s="17"/>
      <c r="L46" s="12"/>
    </row>
    <row r="47" spans="1:15" ht="16.149999999999999" customHeight="1" x14ac:dyDescent="0.35">
      <c r="B47" s="288" t="s">
        <v>561</v>
      </c>
      <c r="E47" s="17"/>
      <c r="F47" s="17"/>
      <c r="L47" s="12"/>
    </row>
    <row r="48" spans="1:15" ht="19.899999999999999" customHeight="1" x14ac:dyDescent="0.35">
      <c r="B48" s="287" t="s">
        <v>572</v>
      </c>
      <c r="E48" s="17"/>
      <c r="F48" s="17"/>
      <c r="L48" s="12"/>
    </row>
    <row r="49" spans="1:26" ht="7.9" customHeight="1" x14ac:dyDescent="0.35">
      <c r="B49" s="287"/>
      <c r="E49" s="17"/>
      <c r="F49" s="17"/>
      <c r="L49" s="12"/>
    </row>
    <row r="50" spans="1:26" ht="19.899999999999999" customHeight="1" x14ac:dyDescent="0.35">
      <c r="B50" s="289" t="s">
        <v>562</v>
      </c>
      <c r="C50" s="86"/>
      <c r="D50" s="497" t="s">
        <v>563</v>
      </c>
      <c r="E50" s="498"/>
      <c r="F50" s="86"/>
      <c r="L50" s="12"/>
    </row>
    <row r="51" spans="1:26" customFormat="1" ht="19.899999999999999" customHeight="1" x14ac:dyDescent="0.35">
      <c r="Q51" s="308"/>
      <c r="R51" s="308"/>
      <c r="S51" s="308"/>
      <c r="T51" s="308"/>
      <c r="U51" s="308"/>
      <c r="V51" s="308"/>
      <c r="W51" s="308"/>
      <c r="X51" s="308"/>
      <c r="Y51" s="308"/>
    </row>
    <row r="52" spans="1:26" ht="40.9" customHeight="1" x14ac:dyDescent="0.35">
      <c r="A52" s="46" t="s">
        <v>286</v>
      </c>
      <c r="E52" s="17"/>
      <c r="F52" s="17"/>
      <c r="K52" s="503" t="s">
        <v>541</v>
      </c>
      <c r="L52" s="504"/>
      <c r="M52"/>
      <c r="N52"/>
      <c r="P52" s="16"/>
      <c r="Q52" s="66"/>
      <c r="R52" s="308"/>
    </row>
    <row r="53" spans="1:26" ht="46.9" customHeight="1" x14ac:dyDescent="0.35">
      <c r="B53" s="25" t="s">
        <v>122</v>
      </c>
      <c r="C53" s="26" t="s">
        <v>7</v>
      </c>
      <c r="D53" s="26" t="s">
        <v>8</v>
      </c>
      <c r="E53" s="26" t="s">
        <v>85</v>
      </c>
      <c r="F53" s="26" t="s">
        <v>74</v>
      </c>
      <c r="G53" s="26" t="s">
        <v>186</v>
      </c>
      <c r="H53" s="26" t="s">
        <v>332</v>
      </c>
      <c r="I53" s="354" t="s">
        <v>726</v>
      </c>
      <c r="J53" s="77" t="s">
        <v>397</v>
      </c>
      <c r="K53" s="77" t="s">
        <v>288</v>
      </c>
      <c r="L53" s="77" t="s">
        <v>290</v>
      </c>
      <c r="M53"/>
      <c r="N53"/>
      <c r="O53" s="89" t="s">
        <v>148</v>
      </c>
      <c r="P53" s="16" t="s">
        <v>148</v>
      </c>
      <c r="Q53" s="90"/>
      <c r="S53" s="308"/>
      <c r="V53" s="15" t="s">
        <v>569</v>
      </c>
      <c r="W53" s="15" t="s">
        <v>571</v>
      </c>
    </row>
    <row r="54" spans="1:26" ht="35.5" customHeight="1" x14ac:dyDescent="0.35">
      <c r="A54" s="29">
        <v>1</v>
      </c>
      <c r="B54" s="97" t="str">
        <f t="shared" ref="B54:B73" si="0">IF(B15="","",B15)</f>
        <v/>
      </c>
      <c r="C54" s="64"/>
      <c r="D54" s="64"/>
      <c r="E54" s="64"/>
      <c r="F54" s="55"/>
      <c r="G54" s="64"/>
      <c r="H54" s="64"/>
      <c r="I54" s="357"/>
      <c r="J54" s="79" t="str">
        <f t="shared" ref="J54:J73" si="1">IF(ISERROR(VLOOKUP(D54,type_efflu_bat,2,FALSE)),"",VLOOKUP(D54,type_efflu_bat,2,FALSE))</f>
        <v/>
      </c>
      <c r="K54" s="296"/>
      <c r="L54" s="296"/>
      <c r="M54"/>
      <c r="N54"/>
      <c r="O54"/>
      <c r="P54"/>
      <c r="Q54"/>
      <c r="R54" s="338"/>
      <c r="S54" s="339"/>
      <c r="T54" s="17" t="e">
        <f t="shared" ref="T54:T73" si="2">VLOOKUP(C54,correspondance_dejections,2)</f>
        <v>#N/A</v>
      </c>
      <c r="U54" s="340" t="str">
        <f>LEFT(C54,1)</f>
        <v/>
      </c>
      <c r="V54" s="308" t="str">
        <f ca="1">'Données d''entrée'!$F$233</f>
        <v>'Données d''entrée'!D221:D221</v>
      </c>
      <c r="W54" s="15" t="str">
        <f ca="1">'Données d''entrée'!$F$260</f>
        <v>'Données d''entrée'!D248:D248</v>
      </c>
      <c r="X54" s="308"/>
    </row>
    <row r="55" spans="1:26" ht="31.15" customHeight="1" x14ac:dyDescent="0.35">
      <c r="A55" s="29">
        <v>2</v>
      </c>
      <c r="B55" s="97" t="str">
        <f t="shared" si="0"/>
        <v/>
      </c>
      <c r="C55" s="64"/>
      <c r="D55" s="64"/>
      <c r="E55" s="64"/>
      <c r="F55" s="55"/>
      <c r="G55" s="64"/>
      <c r="H55" s="64"/>
      <c r="I55" s="357"/>
      <c r="J55" s="79" t="str">
        <f t="shared" si="1"/>
        <v/>
      </c>
      <c r="K55" s="296"/>
      <c r="L55" s="296"/>
      <c r="M55"/>
      <c r="N55"/>
      <c r="O55"/>
      <c r="P55"/>
      <c r="Q55"/>
      <c r="R55" s="338"/>
      <c r="S55" s="339"/>
      <c r="T55" s="17" t="e">
        <f t="shared" si="2"/>
        <v>#N/A</v>
      </c>
      <c r="U55" s="340" t="str">
        <f t="shared" ref="U55:U73" si="3">LEFT(C55,1)</f>
        <v/>
      </c>
      <c r="V55" s="308" t="str">
        <f ca="1">'Données d''entrée'!$F$233</f>
        <v>'Données d''entrée'!D221:D221</v>
      </c>
      <c r="W55" s="15" t="str">
        <f ca="1">'Données d''entrée'!$F$260</f>
        <v>'Données d''entrée'!D248:D248</v>
      </c>
      <c r="Z55" s="308"/>
    </row>
    <row r="56" spans="1:26" x14ac:dyDescent="0.35">
      <c r="A56" s="29">
        <v>3</v>
      </c>
      <c r="B56" s="97" t="str">
        <f t="shared" si="0"/>
        <v/>
      </c>
      <c r="C56" s="64"/>
      <c r="D56" s="64"/>
      <c r="E56" s="64"/>
      <c r="F56" s="55"/>
      <c r="G56" s="64"/>
      <c r="H56" s="64"/>
      <c r="I56" s="357"/>
      <c r="J56" s="79" t="str">
        <f>IF(ISERROR(VLOOKUP(D56,type_efflu_bat,2,FALSE)),"",VLOOKUP(D56,type_efflu_bat,2,FALSE))</f>
        <v/>
      </c>
      <c r="K56" s="296"/>
      <c r="L56" s="296"/>
      <c r="M56"/>
      <c r="N56"/>
      <c r="O56"/>
      <c r="P56"/>
      <c r="Q56"/>
      <c r="R56" s="338"/>
      <c r="S56" s="339"/>
      <c r="T56" s="17" t="e">
        <f t="shared" si="2"/>
        <v>#N/A</v>
      </c>
      <c r="U56" s="340" t="str">
        <f t="shared" si="3"/>
        <v/>
      </c>
      <c r="V56" s="308" t="str">
        <f ca="1">'Données d''entrée'!$F$233</f>
        <v>'Données d''entrée'!D221:D221</v>
      </c>
      <c r="W56" s="15" t="str">
        <f ca="1">'Données d''entrée'!$F$260</f>
        <v>'Données d''entrée'!D248:D248</v>
      </c>
      <c r="Z56" s="308"/>
    </row>
    <row r="57" spans="1:26" x14ac:dyDescent="0.35">
      <c r="A57" s="29">
        <v>4</v>
      </c>
      <c r="B57" s="97" t="str">
        <f t="shared" si="0"/>
        <v/>
      </c>
      <c r="C57" s="64"/>
      <c r="D57" s="64"/>
      <c r="E57" s="64"/>
      <c r="F57" s="55"/>
      <c r="G57" s="64"/>
      <c r="H57" s="64"/>
      <c r="I57" s="357"/>
      <c r="J57" s="79" t="str">
        <f t="shared" si="1"/>
        <v/>
      </c>
      <c r="K57" s="296"/>
      <c r="L57" s="296"/>
      <c r="M57"/>
      <c r="N57"/>
      <c r="O57"/>
      <c r="P57"/>
      <c r="Q57"/>
      <c r="R57" s="338"/>
      <c r="S57" s="339"/>
      <c r="T57" s="17" t="e">
        <f t="shared" si="2"/>
        <v>#N/A</v>
      </c>
      <c r="U57" s="340" t="str">
        <f t="shared" si="3"/>
        <v/>
      </c>
      <c r="V57" s="308" t="str">
        <f ca="1">'Données d''entrée'!$F$233</f>
        <v>'Données d''entrée'!D221:D221</v>
      </c>
      <c r="W57" s="15" t="str">
        <f ca="1">'Données d''entrée'!$F$260</f>
        <v>'Données d''entrée'!D248:D248</v>
      </c>
      <c r="Z57" s="308"/>
    </row>
    <row r="58" spans="1:26" x14ac:dyDescent="0.35">
      <c r="A58" s="29">
        <v>5</v>
      </c>
      <c r="B58" s="97" t="str">
        <f t="shared" si="0"/>
        <v/>
      </c>
      <c r="C58" s="64"/>
      <c r="D58" s="64"/>
      <c r="E58" s="64"/>
      <c r="F58" s="55"/>
      <c r="G58" s="64"/>
      <c r="H58" s="64"/>
      <c r="I58" s="357"/>
      <c r="J58" s="79" t="str">
        <f t="shared" si="1"/>
        <v/>
      </c>
      <c r="K58" s="296"/>
      <c r="L58" s="296"/>
      <c r="M58"/>
      <c r="N58"/>
      <c r="O58"/>
      <c r="P58"/>
      <c r="Q58"/>
      <c r="R58" s="338"/>
      <c r="S58" s="339"/>
      <c r="T58" s="17" t="e">
        <f t="shared" si="2"/>
        <v>#N/A</v>
      </c>
      <c r="U58" s="340" t="str">
        <f t="shared" si="3"/>
        <v/>
      </c>
      <c r="V58" s="308" t="str">
        <f ca="1">'Données d''entrée'!$F$233</f>
        <v>'Données d''entrée'!D221:D221</v>
      </c>
      <c r="W58" s="15" t="str">
        <f ca="1">'Données d''entrée'!$F$260</f>
        <v>'Données d''entrée'!D248:D248</v>
      </c>
      <c r="Z58" s="308"/>
    </row>
    <row r="59" spans="1:26" x14ac:dyDescent="0.35">
      <c r="A59" s="29">
        <v>6</v>
      </c>
      <c r="B59" s="97" t="str">
        <f t="shared" si="0"/>
        <v/>
      </c>
      <c r="C59" s="64"/>
      <c r="D59" s="64"/>
      <c r="E59" s="64"/>
      <c r="F59" s="55"/>
      <c r="G59" s="64"/>
      <c r="H59" s="64"/>
      <c r="I59" s="357"/>
      <c r="J59" s="79" t="str">
        <f t="shared" si="1"/>
        <v/>
      </c>
      <c r="K59" s="296"/>
      <c r="L59" s="296"/>
      <c r="M59"/>
      <c r="N59"/>
      <c r="O59"/>
      <c r="P59"/>
      <c r="Q59"/>
      <c r="R59" s="338"/>
      <c r="S59" s="339"/>
      <c r="T59" s="17" t="e">
        <f t="shared" si="2"/>
        <v>#N/A</v>
      </c>
      <c r="U59" s="340" t="str">
        <f t="shared" si="3"/>
        <v/>
      </c>
      <c r="V59" s="308" t="str">
        <f ca="1">'Données d''entrée'!$F$233</f>
        <v>'Données d''entrée'!D221:D221</v>
      </c>
      <c r="W59" s="15" t="str">
        <f ca="1">'Données d''entrée'!$F$260</f>
        <v>'Données d''entrée'!D248:D248</v>
      </c>
      <c r="Z59" s="308"/>
    </row>
    <row r="60" spans="1:26" x14ac:dyDescent="0.35">
      <c r="A60" s="29">
        <v>7</v>
      </c>
      <c r="B60" s="97" t="str">
        <f t="shared" si="0"/>
        <v/>
      </c>
      <c r="C60" s="64"/>
      <c r="D60" s="64"/>
      <c r="E60" s="64"/>
      <c r="F60" s="55"/>
      <c r="G60" s="64"/>
      <c r="H60" s="64"/>
      <c r="I60" s="357"/>
      <c r="J60" s="79" t="str">
        <f t="shared" si="1"/>
        <v/>
      </c>
      <c r="K60" s="296"/>
      <c r="L60" s="296"/>
      <c r="M60"/>
      <c r="N60"/>
      <c r="O60"/>
      <c r="P60"/>
      <c r="Q60"/>
      <c r="R60" s="338"/>
      <c r="S60" s="339"/>
      <c r="T60" s="17" t="e">
        <f t="shared" si="2"/>
        <v>#N/A</v>
      </c>
      <c r="U60" s="340" t="str">
        <f t="shared" si="3"/>
        <v/>
      </c>
      <c r="V60" s="308" t="str">
        <f ca="1">'Données d''entrée'!$F$233</f>
        <v>'Données d''entrée'!D221:D221</v>
      </c>
      <c r="W60" s="15" t="str">
        <f ca="1">'Données d''entrée'!$F$260</f>
        <v>'Données d''entrée'!D248:D248</v>
      </c>
      <c r="Z60" s="308"/>
    </row>
    <row r="61" spans="1:26" x14ac:dyDescent="0.35">
      <c r="A61" s="29">
        <v>8</v>
      </c>
      <c r="B61" s="97" t="str">
        <f t="shared" si="0"/>
        <v/>
      </c>
      <c r="C61" s="64"/>
      <c r="D61" s="64"/>
      <c r="E61" s="64"/>
      <c r="F61" s="55"/>
      <c r="G61" s="64"/>
      <c r="H61" s="64"/>
      <c r="I61" s="357"/>
      <c r="J61" s="79" t="str">
        <f t="shared" si="1"/>
        <v/>
      </c>
      <c r="K61" s="296"/>
      <c r="L61" s="296"/>
      <c r="M61"/>
      <c r="N61"/>
      <c r="O61"/>
      <c r="P61"/>
      <c r="Q61"/>
      <c r="R61" s="338"/>
      <c r="S61" s="339"/>
      <c r="T61" s="17" t="e">
        <f t="shared" si="2"/>
        <v>#N/A</v>
      </c>
      <c r="U61" s="340" t="str">
        <f t="shared" si="3"/>
        <v/>
      </c>
      <c r="V61" s="308" t="str">
        <f ca="1">'Données d''entrée'!$F$233</f>
        <v>'Données d''entrée'!D221:D221</v>
      </c>
      <c r="W61" s="15" t="str">
        <f ca="1">'Données d''entrée'!$F$260</f>
        <v>'Données d''entrée'!D248:D248</v>
      </c>
      <c r="Z61" s="308"/>
    </row>
    <row r="62" spans="1:26" x14ac:dyDescent="0.35">
      <c r="A62" s="29">
        <v>9</v>
      </c>
      <c r="B62" s="97" t="str">
        <f t="shared" si="0"/>
        <v/>
      </c>
      <c r="C62" s="64"/>
      <c r="D62" s="64"/>
      <c r="E62" s="64"/>
      <c r="F62" s="55"/>
      <c r="G62" s="64"/>
      <c r="H62" s="64"/>
      <c r="I62" s="357"/>
      <c r="J62" s="79" t="str">
        <f t="shared" si="1"/>
        <v/>
      </c>
      <c r="K62" s="296"/>
      <c r="L62" s="296"/>
      <c r="M62"/>
      <c r="N62"/>
      <c r="O62"/>
      <c r="P62"/>
      <c r="Q62"/>
      <c r="R62" s="338"/>
      <c r="S62" s="339"/>
      <c r="T62" s="17" t="e">
        <f t="shared" si="2"/>
        <v>#N/A</v>
      </c>
      <c r="U62" s="340" t="str">
        <f t="shared" si="3"/>
        <v/>
      </c>
      <c r="V62" s="308" t="str">
        <f ca="1">'Données d''entrée'!$F$233</f>
        <v>'Données d''entrée'!D221:D221</v>
      </c>
      <c r="W62" s="15" t="str">
        <f ca="1">'Données d''entrée'!$F$260</f>
        <v>'Données d''entrée'!D248:D248</v>
      </c>
      <c r="Z62" s="308"/>
    </row>
    <row r="63" spans="1:26" x14ac:dyDescent="0.35">
      <c r="A63" s="29">
        <v>10</v>
      </c>
      <c r="B63" s="97" t="str">
        <f t="shared" si="0"/>
        <v/>
      </c>
      <c r="C63" s="64"/>
      <c r="D63" s="64"/>
      <c r="E63" s="64"/>
      <c r="F63" s="55"/>
      <c r="G63" s="64"/>
      <c r="H63" s="64"/>
      <c r="I63" s="357"/>
      <c r="J63" s="79" t="str">
        <f t="shared" si="1"/>
        <v/>
      </c>
      <c r="K63" s="296"/>
      <c r="L63" s="296"/>
      <c r="M63"/>
      <c r="N63"/>
      <c r="O63"/>
      <c r="P63"/>
      <c r="Q63"/>
      <c r="R63" s="338"/>
      <c r="S63" s="339"/>
      <c r="T63" s="17" t="e">
        <f t="shared" si="2"/>
        <v>#N/A</v>
      </c>
      <c r="U63" s="340" t="str">
        <f t="shared" si="3"/>
        <v/>
      </c>
      <c r="V63" s="308" t="str">
        <f ca="1">'Données d''entrée'!$F$233</f>
        <v>'Données d''entrée'!D221:D221</v>
      </c>
      <c r="W63" s="15" t="str">
        <f ca="1">'Données d''entrée'!$F$260</f>
        <v>'Données d''entrée'!D248:D248</v>
      </c>
      <c r="Z63" s="308"/>
    </row>
    <row r="64" spans="1:26" x14ac:dyDescent="0.35">
      <c r="A64" s="29">
        <v>11</v>
      </c>
      <c r="B64" s="97" t="str">
        <f t="shared" si="0"/>
        <v/>
      </c>
      <c r="C64" s="64"/>
      <c r="D64" s="64"/>
      <c r="E64" s="64"/>
      <c r="F64" s="55"/>
      <c r="G64" s="64"/>
      <c r="H64" s="64"/>
      <c r="I64" s="357"/>
      <c r="J64" s="79" t="str">
        <f t="shared" si="1"/>
        <v/>
      </c>
      <c r="K64" s="296"/>
      <c r="L64" s="296"/>
      <c r="M64"/>
      <c r="N64"/>
      <c r="O64"/>
      <c r="P64"/>
      <c r="Q64"/>
      <c r="R64" s="338"/>
      <c r="S64" s="339"/>
      <c r="T64" s="17" t="e">
        <f t="shared" si="2"/>
        <v>#N/A</v>
      </c>
      <c r="U64" s="340" t="str">
        <f t="shared" si="3"/>
        <v/>
      </c>
      <c r="V64" s="308" t="str">
        <f ca="1">'Données d''entrée'!$F$233</f>
        <v>'Données d''entrée'!D221:D221</v>
      </c>
      <c r="W64" s="15" t="str">
        <f ca="1">'Données d''entrée'!$F$260</f>
        <v>'Données d''entrée'!D248:D248</v>
      </c>
    </row>
    <row r="65" spans="1:23" x14ac:dyDescent="0.35">
      <c r="A65" s="29">
        <v>12</v>
      </c>
      <c r="B65" s="97" t="str">
        <f t="shared" si="0"/>
        <v/>
      </c>
      <c r="C65" s="64"/>
      <c r="D65" s="64"/>
      <c r="E65" s="64"/>
      <c r="F65" s="55"/>
      <c r="G65" s="64"/>
      <c r="H65" s="64"/>
      <c r="I65" s="357"/>
      <c r="J65" s="79" t="str">
        <f t="shared" si="1"/>
        <v/>
      </c>
      <c r="K65" s="296"/>
      <c r="L65" s="296"/>
      <c r="M65"/>
      <c r="N65"/>
      <c r="O65"/>
      <c r="P65"/>
      <c r="Q65"/>
      <c r="R65" s="338"/>
      <c r="S65" s="339"/>
      <c r="T65" s="17" t="e">
        <f t="shared" si="2"/>
        <v>#N/A</v>
      </c>
      <c r="U65" s="340" t="str">
        <f t="shared" si="3"/>
        <v/>
      </c>
      <c r="V65" s="308" t="str">
        <f ca="1">'Données d''entrée'!$F$233</f>
        <v>'Données d''entrée'!D221:D221</v>
      </c>
      <c r="W65" s="15" t="str">
        <f ca="1">'Données d''entrée'!$F$260</f>
        <v>'Données d''entrée'!D248:D248</v>
      </c>
    </row>
    <row r="66" spans="1:23" x14ac:dyDescent="0.35">
      <c r="A66" s="29">
        <v>13</v>
      </c>
      <c r="B66" s="97" t="str">
        <f t="shared" si="0"/>
        <v/>
      </c>
      <c r="C66" s="64"/>
      <c r="D66" s="64"/>
      <c r="E66" s="64"/>
      <c r="F66" s="55"/>
      <c r="G66" s="64"/>
      <c r="H66" s="64"/>
      <c r="I66" s="357"/>
      <c r="J66" s="79" t="str">
        <f t="shared" si="1"/>
        <v/>
      </c>
      <c r="K66" s="296"/>
      <c r="L66" s="296"/>
      <c r="M66"/>
      <c r="N66"/>
      <c r="O66"/>
      <c r="P66"/>
      <c r="Q66"/>
      <c r="R66" s="338"/>
      <c r="S66" s="339"/>
      <c r="T66" s="17" t="e">
        <f t="shared" si="2"/>
        <v>#N/A</v>
      </c>
      <c r="U66" s="340" t="str">
        <f t="shared" si="3"/>
        <v/>
      </c>
      <c r="V66" s="308" t="str">
        <f ca="1">'Données d''entrée'!$F$233</f>
        <v>'Données d''entrée'!D221:D221</v>
      </c>
      <c r="W66" s="15" t="str">
        <f ca="1">'Données d''entrée'!$F$260</f>
        <v>'Données d''entrée'!D248:D248</v>
      </c>
    </row>
    <row r="67" spans="1:23" x14ac:dyDescent="0.35">
      <c r="A67" s="29">
        <v>14</v>
      </c>
      <c r="B67" s="97" t="str">
        <f t="shared" si="0"/>
        <v/>
      </c>
      <c r="C67" s="64"/>
      <c r="D67" s="64"/>
      <c r="E67" s="64"/>
      <c r="F67" s="55"/>
      <c r="G67" s="64"/>
      <c r="H67" s="64"/>
      <c r="I67" s="357"/>
      <c r="J67" s="79" t="str">
        <f t="shared" si="1"/>
        <v/>
      </c>
      <c r="K67" s="296"/>
      <c r="L67" s="296"/>
      <c r="M67"/>
      <c r="N67"/>
      <c r="O67"/>
      <c r="P67"/>
      <c r="Q67"/>
      <c r="R67" s="338"/>
      <c r="S67" s="339"/>
      <c r="T67" s="17" t="e">
        <f t="shared" si="2"/>
        <v>#N/A</v>
      </c>
      <c r="U67" s="340" t="str">
        <f t="shared" si="3"/>
        <v/>
      </c>
      <c r="V67" s="308" t="str">
        <f ca="1">'Données d''entrée'!$F$233</f>
        <v>'Données d''entrée'!D221:D221</v>
      </c>
      <c r="W67" s="15" t="str">
        <f ca="1">'Données d''entrée'!$F$260</f>
        <v>'Données d''entrée'!D248:D248</v>
      </c>
    </row>
    <row r="68" spans="1:23" x14ac:dyDescent="0.35">
      <c r="A68" s="29">
        <v>15</v>
      </c>
      <c r="B68" s="97" t="str">
        <f t="shared" si="0"/>
        <v/>
      </c>
      <c r="C68" s="64"/>
      <c r="D68" s="64"/>
      <c r="E68" s="64"/>
      <c r="F68" s="55"/>
      <c r="G68" s="64"/>
      <c r="H68" s="64"/>
      <c r="I68" s="357"/>
      <c r="J68" s="79" t="str">
        <f t="shared" si="1"/>
        <v/>
      </c>
      <c r="K68" s="296"/>
      <c r="L68" s="296"/>
      <c r="M68"/>
      <c r="N68"/>
      <c r="O68"/>
      <c r="P68"/>
      <c r="Q68"/>
      <c r="R68" s="338"/>
      <c r="S68" s="339"/>
      <c r="T68" s="17" t="e">
        <f t="shared" si="2"/>
        <v>#N/A</v>
      </c>
      <c r="U68" s="340" t="str">
        <f t="shared" si="3"/>
        <v/>
      </c>
      <c r="V68" s="308" t="str">
        <f ca="1">'Données d''entrée'!$F$233</f>
        <v>'Données d''entrée'!D221:D221</v>
      </c>
      <c r="W68" s="15" t="str">
        <f ca="1">'Données d''entrée'!$F$260</f>
        <v>'Données d''entrée'!D248:D248</v>
      </c>
    </row>
    <row r="69" spans="1:23" x14ac:dyDescent="0.35">
      <c r="A69" s="29">
        <v>16</v>
      </c>
      <c r="B69" s="97" t="str">
        <f t="shared" si="0"/>
        <v/>
      </c>
      <c r="C69" s="64"/>
      <c r="D69" s="64"/>
      <c r="E69" s="64"/>
      <c r="F69" s="55"/>
      <c r="G69" s="64"/>
      <c r="H69" s="64"/>
      <c r="I69" s="357"/>
      <c r="J69" s="79" t="str">
        <f t="shared" si="1"/>
        <v/>
      </c>
      <c r="K69" s="296"/>
      <c r="L69" s="296"/>
      <c r="M69"/>
      <c r="N69"/>
      <c r="O69"/>
      <c r="P69"/>
      <c r="Q69"/>
      <c r="R69" s="338"/>
      <c r="S69" s="339"/>
      <c r="T69" s="17" t="e">
        <f t="shared" si="2"/>
        <v>#N/A</v>
      </c>
      <c r="U69" s="340" t="str">
        <f t="shared" si="3"/>
        <v/>
      </c>
      <c r="V69" s="308" t="str">
        <f ca="1">'Données d''entrée'!$F$233</f>
        <v>'Données d''entrée'!D221:D221</v>
      </c>
      <c r="W69" s="15" t="str">
        <f ca="1">'Données d''entrée'!$F$260</f>
        <v>'Données d''entrée'!D248:D248</v>
      </c>
    </row>
    <row r="70" spans="1:23" x14ac:dyDescent="0.35">
      <c r="A70" s="29">
        <v>17</v>
      </c>
      <c r="B70" s="97" t="str">
        <f t="shared" si="0"/>
        <v/>
      </c>
      <c r="C70" s="64"/>
      <c r="D70" s="64"/>
      <c r="E70" s="64"/>
      <c r="F70" s="55"/>
      <c r="G70" s="64"/>
      <c r="H70" s="64"/>
      <c r="I70" s="357"/>
      <c r="J70" s="79" t="str">
        <f t="shared" si="1"/>
        <v/>
      </c>
      <c r="K70" s="296"/>
      <c r="L70" s="296"/>
      <c r="M70"/>
      <c r="N70"/>
      <c r="O70"/>
      <c r="P70"/>
      <c r="Q70"/>
      <c r="R70" s="338"/>
      <c r="S70" s="339"/>
      <c r="T70" s="17" t="e">
        <f t="shared" si="2"/>
        <v>#N/A</v>
      </c>
      <c r="U70" s="340" t="str">
        <f t="shared" si="3"/>
        <v/>
      </c>
      <c r="V70" s="308" t="str">
        <f ca="1">'Données d''entrée'!$F$233</f>
        <v>'Données d''entrée'!D221:D221</v>
      </c>
      <c r="W70" s="15" t="str">
        <f ca="1">'Données d''entrée'!$F$260</f>
        <v>'Données d''entrée'!D248:D248</v>
      </c>
    </row>
    <row r="71" spans="1:23" x14ac:dyDescent="0.35">
      <c r="A71" s="29">
        <v>18</v>
      </c>
      <c r="B71" s="97" t="str">
        <f t="shared" si="0"/>
        <v/>
      </c>
      <c r="C71" s="64"/>
      <c r="D71" s="64"/>
      <c r="E71" s="64"/>
      <c r="F71" s="55"/>
      <c r="G71" s="64"/>
      <c r="H71" s="64"/>
      <c r="I71" s="357"/>
      <c r="J71" s="79" t="str">
        <f t="shared" si="1"/>
        <v/>
      </c>
      <c r="K71" s="296"/>
      <c r="L71" s="296"/>
      <c r="M71"/>
      <c r="N71"/>
      <c r="O71"/>
      <c r="P71"/>
      <c r="Q71"/>
      <c r="R71" s="338"/>
      <c r="S71" s="339"/>
      <c r="T71" s="17" t="e">
        <f t="shared" si="2"/>
        <v>#N/A</v>
      </c>
      <c r="U71" s="340" t="str">
        <f t="shared" si="3"/>
        <v/>
      </c>
      <c r="V71" s="308" t="str">
        <f ca="1">'Données d''entrée'!$F$233</f>
        <v>'Données d''entrée'!D221:D221</v>
      </c>
      <c r="W71" s="15" t="str">
        <f ca="1">'Données d''entrée'!$F$260</f>
        <v>'Données d''entrée'!D248:D248</v>
      </c>
    </row>
    <row r="72" spans="1:23" x14ac:dyDescent="0.35">
      <c r="A72" s="29">
        <v>19</v>
      </c>
      <c r="B72" s="97" t="str">
        <f t="shared" si="0"/>
        <v/>
      </c>
      <c r="C72" s="64"/>
      <c r="D72" s="64"/>
      <c r="E72" s="64"/>
      <c r="F72" s="55"/>
      <c r="G72" s="64"/>
      <c r="H72" s="64"/>
      <c r="I72" s="357"/>
      <c r="J72" s="79" t="str">
        <f t="shared" si="1"/>
        <v/>
      </c>
      <c r="K72" s="296"/>
      <c r="L72" s="296"/>
      <c r="M72"/>
      <c r="N72"/>
      <c r="O72"/>
      <c r="P72"/>
      <c r="Q72"/>
      <c r="R72" s="338"/>
      <c r="S72" s="339"/>
      <c r="T72" s="17" t="e">
        <f t="shared" si="2"/>
        <v>#N/A</v>
      </c>
      <c r="U72" s="340" t="str">
        <f t="shared" si="3"/>
        <v/>
      </c>
      <c r="V72" s="308" t="str">
        <f ca="1">'Données d''entrée'!$F$233</f>
        <v>'Données d''entrée'!D221:D221</v>
      </c>
      <c r="W72" s="15" t="str">
        <f ca="1">'Données d''entrée'!$F$260</f>
        <v>'Données d''entrée'!D248:D248</v>
      </c>
    </row>
    <row r="73" spans="1:23" x14ac:dyDescent="0.35">
      <c r="A73" s="29">
        <v>20</v>
      </c>
      <c r="B73" s="97" t="str">
        <f t="shared" si="0"/>
        <v/>
      </c>
      <c r="C73" s="64"/>
      <c r="D73" s="64"/>
      <c r="E73" s="64"/>
      <c r="F73" s="55"/>
      <c r="G73" s="64"/>
      <c r="H73" s="64"/>
      <c r="I73" s="357"/>
      <c r="J73" s="79" t="str">
        <f t="shared" si="1"/>
        <v/>
      </c>
      <c r="K73" s="296"/>
      <c r="L73" s="296"/>
      <c r="M73"/>
      <c r="N73"/>
      <c r="O73"/>
      <c r="P73"/>
      <c r="Q73"/>
      <c r="R73" s="338"/>
      <c r="S73" s="339"/>
      <c r="T73" s="17" t="e">
        <f t="shared" si="2"/>
        <v>#N/A</v>
      </c>
      <c r="U73" s="340" t="str">
        <f t="shared" si="3"/>
        <v/>
      </c>
      <c r="V73" s="308" t="str">
        <f ca="1">'Données d''entrée'!$F$233</f>
        <v>'Données d''entrée'!D221:D221</v>
      </c>
      <c r="W73" s="15" t="str">
        <f ca="1">'Données d''entrée'!$F$260</f>
        <v>'Données d''entrée'!D248:D248</v>
      </c>
    </row>
    <row r="74" spans="1:23" x14ac:dyDescent="0.35">
      <c r="E74" s="17"/>
      <c r="F74" s="17"/>
      <c r="M74"/>
      <c r="N74"/>
      <c r="O74"/>
      <c r="P74"/>
      <c r="R74" s="308"/>
      <c r="S74" s="17"/>
      <c r="T74" s="17"/>
      <c r="U74" s="15" t="str">
        <f t="shared" ref="U74" si="4">CONCATENATE(H74,LEFT(C74,1))</f>
        <v/>
      </c>
    </row>
    <row r="75" spans="1:23" x14ac:dyDescent="0.35">
      <c r="A75" s="46" t="s">
        <v>391</v>
      </c>
      <c r="E75" s="17"/>
      <c r="F75" s="17"/>
      <c r="M75"/>
      <c r="N75"/>
      <c r="O75"/>
      <c r="P75"/>
      <c r="R75" s="308"/>
      <c r="S75" s="17"/>
      <c r="T75" s="17"/>
      <c r="V75" s="308"/>
    </row>
    <row r="76" spans="1:23" ht="23.5" customHeight="1" x14ac:dyDescent="0.35">
      <c r="B76" s="88" t="s">
        <v>425</v>
      </c>
      <c r="E76" s="17"/>
      <c r="F76" s="17"/>
      <c r="L76" s="12"/>
    </row>
    <row r="77" spans="1:23" x14ac:dyDescent="0.35">
      <c r="A77" s="85"/>
      <c r="B77" s="6" t="s">
        <v>412</v>
      </c>
      <c r="C77" s="86"/>
      <c r="E77" s="17"/>
      <c r="F77" s="17"/>
      <c r="L77" s="12"/>
    </row>
    <row r="78" spans="1:23" ht="25.9" customHeight="1" x14ac:dyDescent="0.35">
      <c r="D78"/>
      <c r="E78" s="12"/>
      <c r="F78" s="17"/>
      <c r="H78" s="503" t="s">
        <v>406</v>
      </c>
      <c r="I78" s="504"/>
      <c r="L78" s="17"/>
      <c r="M78"/>
      <c r="N78" s="67"/>
      <c r="P78" s="16"/>
      <c r="Q78" s="15"/>
      <c r="R78" s="308"/>
    </row>
    <row r="79" spans="1:23" ht="60.65" customHeight="1" x14ac:dyDescent="0.35">
      <c r="B79" s="96" t="s">
        <v>396</v>
      </c>
      <c r="C79" s="95" t="s">
        <v>540</v>
      </c>
      <c r="D79" s="327" t="s">
        <v>579</v>
      </c>
      <c r="E79" s="293" t="s">
        <v>578</v>
      </c>
      <c r="F79" s="80" t="s">
        <v>393</v>
      </c>
      <c r="G79" s="80" t="s">
        <v>394</v>
      </c>
      <c r="H79" s="77" t="s">
        <v>288</v>
      </c>
      <c r="I79" s="77" t="s">
        <v>290</v>
      </c>
      <c r="K79"/>
      <c r="L79" s="81"/>
      <c r="M79" s="51"/>
      <c r="N79" s="67"/>
      <c r="O79" s="89"/>
      <c r="P79" s="16"/>
      <c r="Q79" s="15"/>
      <c r="R79" s="308"/>
    </row>
    <row r="80" spans="1:23" x14ac:dyDescent="0.35">
      <c r="A80" s="29">
        <v>1</v>
      </c>
      <c r="B80" s="348"/>
      <c r="C80" s="82"/>
      <c r="D80" s="61"/>
      <c r="E80" s="61"/>
      <c r="F80" s="64"/>
      <c r="G80" s="63" t="str">
        <f>IF(ISERROR(VLOOKUP(F80,'Données d''entrée'!$D$154:$E$164,2,FALSE)),"",VLOOKUP(F80,'Données d''entrée'!$D$154:$E$164,2,FALSE))</f>
        <v/>
      </c>
      <c r="H80" s="324"/>
      <c r="I80" s="324"/>
      <c r="J80" s="84"/>
      <c r="K80"/>
      <c r="L80" s="81"/>
      <c r="M80" s="51"/>
      <c r="N80" s="67"/>
      <c r="O80" s="16" t="str">
        <f>IF(C80="Solide","traitement_solide",IF(C80="Liquide","traitement_liquide",""))</f>
        <v/>
      </c>
      <c r="P80" s="16"/>
      <c r="Q80" s="15"/>
      <c r="R80" s="308"/>
    </row>
    <row r="81" spans="1:18" x14ac:dyDescent="0.35">
      <c r="A81" s="29">
        <v>2</v>
      </c>
      <c r="B81" s="393"/>
      <c r="C81" s="82"/>
      <c r="D81" s="61"/>
      <c r="E81" s="61"/>
      <c r="F81" s="64"/>
      <c r="G81" s="63" t="str">
        <f>IF(ISERROR(VLOOKUP(F81,'Données d''entrée'!$D$154:$E$164,2,FALSE)),"",VLOOKUP(F81,'Données d''entrée'!$D$154:$E$164,2,FALSE))</f>
        <v/>
      </c>
      <c r="H81" s="324"/>
      <c r="I81" s="324"/>
      <c r="J81" s="84"/>
      <c r="K81"/>
      <c r="L81" s="81"/>
      <c r="M81" s="51"/>
      <c r="N81" s="67"/>
      <c r="O81" s="16" t="str">
        <f>IF(C81="Solide","traitement_solide",IF(C81="Liquide","traitement_liquide",""))</f>
        <v/>
      </c>
      <c r="P81" s="16"/>
      <c r="Q81" s="15"/>
      <c r="R81" s="308"/>
    </row>
    <row r="82" spans="1:18" x14ac:dyDescent="0.35">
      <c r="A82" s="29">
        <v>3</v>
      </c>
      <c r="B82" s="393"/>
      <c r="C82" s="82"/>
      <c r="D82" s="61"/>
      <c r="E82" s="61"/>
      <c r="F82" s="64"/>
      <c r="G82" s="63" t="str">
        <f>IF(ISERROR(VLOOKUP(F82,'Données d''entrée'!$D$154:$E$164,2,FALSE)),"",VLOOKUP(F82,'Données d''entrée'!$D$154:$E$164,2,FALSE))</f>
        <v/>
      </c>
      <c r="H82" s="324"/>
      <c r="I82" s="324"/>
      <c r="J82" s="84"/>
      <c r="K82"/>
      <c r="L82" s="81"/>
      <c r="M82" s="51"/>
      <c r="N82" s="67"/>
      <c r="O82" s="16" t="str">
        <f>IF(C82="Solide","traitement_solide",IF(C82="Liquide","traitement_liquide",""))</f>
        <v/>
      </c>
      <c r="P82" s="16"/>
      <c r="Q82" s="15"/>
      <c r="R82" s="308"/>
    </row>
    <row r="83" spans="1:18" x14ac:dyDescent="0.35">
      <c r="A83" s="29">
        <v>4</v>
      </c>
      <c r="B83" s="393"/>
      <c r="C83" s="82"/>
      <c r="D83" s="61"/>
      <c r="E83" s="61"/>
      <c r="F83" s="64"/>
      <c r="G83" s="63" t="str">
        <f>IF(ISERROR(VLOOKUP(F83,'Données d''entrée'!$D$154:$E$164,2,FALSE)),"",VLOOKUP(F83,'Données d''entrée'!$D$154:$E$164,2,FALSE))</f>
        <v/>
      </c>
      <c r="H83" s="324"/>
      <c r="I83" s="324"/>
      <c r="J83" s="84"/>
      <c r="K83"/>
      <c r="L83" s="81"/>
      <c r="M83" s="51"/>
      <c r="N83" s="67"/>
      <c r="O83" s="16" t="str">
        <f>IF(C83="Solide","traitement_solide",IF(C83="Liquide","traitement_liquide",""))</f>
        <v/>
      </c>
      <c r="P83" s="16"/>
      <c r="Q83" s="15"/>
      <c r="R83" s="308"/>
    </row>
    <row r="84" spans="1:18" x14ac:dyDescent="0.35">
      <c r="A84" s="29">
        <v>5</v>
      </c>
      <c r="B84" s="393"/>
      <c r="C84" s="82"/>
      <c r="D84" s="61"/>
      <c r="E84" s="61"/>
      <c r="F84" s="64"/>
      <c r="G84" s="63" t="str">
        <f>IF(ISERROR(VLOOKUP(F84,'Données d''entrée'!$D$154:$E$164,2,FALSE)),"",VLOOKUP(F84,'Données d''entrée'!$D$154:$E$164,2,FALSE))</f>
        <v/>
      </c>
      <c r="H84" s="324"/>
      <c r="I84" s="324"/>
      <c r="J84" s="84"/>
      <c r="K84"/>
      <c r="L84" s="81"/>
      <c r="M84" s="51"/>
      <c r="N84" s="67"/>
      <c r="O84" s="16" t="str">
        <f>IF(C84="Solide","traitement_solide",IF(C84="Liquide","traitement_liquide",""))</f>
        <v/>
      </c>
      <c r="P84" s="16"/>
      <c r="Q84" s="15"/>
      <c r="R84" s="308"/>
    </row>
    <row r="85" spans="1:18" x14ac:dyDescent="0.35">
      <c r="I85"/>
      <c r="K85" s="81"/>
      <c r="L85" s="51"/>
      <c r="N85" s="16" t="str">
        <f t="shared" ref="N85" si="5">IF(C85="Solide","traitement_solide",IF(C85="Liquide","traitement_liquide",""))</f>
        <v/>
      </c>
    </row>
    <row r="86" spans="1:18" x14ac:dyDescent="0.35">
      <c r="A86" s="46" t="s">
        <v>395</v>
      </c>
      <c r="E86" s="17"/>
      <c r="G86"/>
      <c r="H86"/>
      <c r="I86"/>
      <c r="K86" s="81"/>
      <c r="L86" s="51"/>
    </row>
    <row r="87" spans="1:18" ht="36" x14ac:dyDescent="0.35">
      <c r="B87" s="25" t="s">
        <v>123</v>
      </c>
      <c r="C87" s="80" t="s">
        <v>294</v>
      </c>
      <c r="D87" s="293" t="s">
        <v>581</v>
      </c>
      <c r="E87" s="293" t="s">
        <v>582</v>
      </c>
      <c r="F87" s="80" t="s">
        <v>151</v>
      </c>
      <c r="G87" s="38" t="s">
        <v>564</v>
      </c>
      <c r="H87"/>
      <c r="I87"/>
      <c r="K87" s="81"/>
      <c r="L87" s="51"/>
    </row>
    <row r="88" spans="1:18" x14ac:dyDescent="0.35">
      <c r="A88" s="29">
        <v>1</v>
      </c>
      <c r="B88" s="360"/>
      <c r="C88" s="82"/>
      <c r="D88" s="61"/>
      <c r="E88" s="61"/>
      <c r="F88" s="23"/>
      <c r="G88" s="28">
        <f>SUMIF($C$101:$C$110,$B88,$G$101:$G$110)</f>
        <v>0</v>
      </c>
      <c r="H88"/>
      <c r="I88"/>
      <c r="N88" s="16" t="str">
        <f>IF(C88="Solide","stockage_solide",IF(C88="Liquide","stockage_liquide",""))</f>
        <v/>
      </c>
    </row>
    <row r="89" spans="1:18" x14ac:dyDescent="0.35">
      <c r="A89" s="29">
        <v>2</v>
      </c>
      <c r="B89" s="393"/>
      <c r="C89" s="82"/>
      <c r="D89" s="61"/>
      <c r="E89" s="61"/>
      <c r="F89" s="23"/>
      <c r="G89" s="28">
        <f>SUMIF($C$101:$C$110,$B89,$G$101:$G$110)</f>
        <v>0</v>
      </c>
      <c r="H89"/>
      <c r="I89"/>
      <c r="N89" s="16" t="str">
        <f>IF(C89="Solide","stockage_solide",IF(C89="Liquide","stockage_liquide",""))</f>
        <v/>
      </c>
    </row>
    <row r="90" spans="1:18" x14ac:dyDescent="0.35">
      <c r="A90" s="29">
        <v>3</v>
      </c>
      <c r="B90" s="393"/>
      <c r="C90" s="82"/>
      <c r="D90" s="61"/>
      <c r="E90" s="61"/>
      <c r="F90" s="23"/>
      <c r="G90" s="28">
        <f t="shared" ref="G90:G91" si="6">SUMIF($C$101:$C$110,$B90,$G$101:$G$110)</f>
        <v>0</v>
      </c>
      <c r="H90"/>
      <c r="I90"/>
      <c r="N90" s="16" t="str">
        <f t="shared" ref="N90:N92" si="7">IF(C90="Solide","stockage_solide",IF(C90="Liquide","stockage_liquide",""))</f>
        <v/>
      </c>
    </row>
    <row r="91" spans="1:18" x14ac:dyDescent="0.35">
      <c r="A91" s="29">
        <v>4</v>
      </c>
      <c r="B91" s="393"/>
      <c r="C91" s="82"/>
      <c r="D91" s="61"/>
      <c r="E91" s="61"/>
      <c r="F91" s="23"/>
      <c r="G91" s="28">
        <f t="shared" si="6"/>
        <v>0</v>
      </c>
      <c r="H91"/>
      <c r="I91"/>
      <c r="N91" s="16" t="str">
        <f t="shared" si="7"/>
        <v/>
      </c>
    </row>
    <row r="92" spans="1:18" x14ac:dyDescent="0.35">
      <c r="A92" s="29">
        <v>5</v>
      </c>
      <c r="B92" s="393"/>
      <c r="C92" s="82"/>
      <c r="D92" s="61"/>
      <c r="E92" s="61"/>
      <c r="F92" s="23"/>
      <c r="G92" s="28">
        <f>SUMIF($C$101:$C$110,$B92,$G$101:$G$110)</f>
        <v>0</v>
      </c>
      <c r="H92"/>
      <c r="I92"/>
      <c r="N92" s="16" t="str">
        <f t="shared" si="7"/>
        <v/>
      </c>
    </row>
    <row r="94" spans="1:18" x14ac:dyDescent="0.35">
      <c r="B94" s="15" t="s">
        <v>576</v>
      </c>
      <c r="E94" s="290" t="str">
        <f>IF(C50="OUI",SUM(D80:D84)+SUM(D88:D92),"Non concerné")</f>
        <v>Non concerné</v>
      </c>
      <c r="F94" s="291" t="s">
        <v>565</v>
      </c>
      <c r="L94" s="12"/>
    </row>
    <row r="95" spans="1:18" x14ac:dyDescent="0.35">
      <c r="B95" s="15" t="s">
        <v>577</v>
      </c>
      <c r="E95" s="290" t="str">
        <f>IF(F50="OUI",SUM(E80:E84)+SUM(E88:E92),"Non concerné")</f>
        <v>Non concerné</v>
      </c>
      <c r="F95" s="291" t="s">
        <v>565</v>
      </c>
      <c r="L95" s="12"/>
    </row>
    <row r="96" spans="1:18" x14ac:dyDescent="0.35">
      <c r="L96" s="12"/>
    </row>
    <row r="97" spans="1:18" ht="39.65" customHeight="1" x14ac:dyDescent="0.35">
      <c r="A97" s="499" t="s">
        <v>536</v>
      </c>
      <c r="B97" s="499"/>
      <c r="C97" s="499"/>
      <c r="D97" s="499"/>
      <c r="E97" s="499"/>
      <c r="F97" s="499"/>
      <c r="G97" s="499"/>
      <c r="H97" s="499"/>
      <c r="I97" s="499"/>
      <c r="J97" s="499"/>
      <c r="K97" s="499"/>
    </row>
    <row r="99" spans="1:18" x14ac:dyDescent="0.35">
      <c r="A99" s="46" t="s">
        <v>510</v>
      </c>
    </row>
    <row r="100" spans="1:18" s="17" customFormat="1" ht="70.900000000000006" customHeight="1" x14ac:dyDescent="0.35">
      <c r="A100" s="15"/>
      <c r="B100" s="25" t="s">
        <v>128</v>
      </c>
      <c r="C100" s="25" t="s">
        <v>125</v>
      </c>
      <c r="D100" s="26" t="s">
        <v>294</v>
      </c>
      <c r="E100" s="26" t="s">
        <v>341</v>
      </c>
      <c r="F100" s="26" t="s">
        <v>126</v>
      </c>
      <c r="G100" s="26" t="s">
        <v>300</v>
      </c>
      <c r="L100"/>
      <c r="M100" s="67"/>
      <c r="N100" s="89" t="s">
        <v>148</v>
      </c>
      <c r="O100" s="16"/>
      <c r="P100" s="66"/>
      <c r="Q100" s="308"/>
      <c r="R100" s="15"/>
    </row>
    <row r="101" spans="1:18" s="17" customFormat="1" x14ac:dyDescent="0.35">
      <c r="A101" s="29">
        <v>1</v>
      </c>
      <c r="B101" s="386"/>
      <c r="C101" s="83"/>
      <c r="D101" s="63" t="str">
        <f>IF(ISERROR(VLOOKUP(C101,$B$88:$C$92,2,FALSE)),"",VLOOKUP(C101,$B$88:$C$92,2,FALSE))</f>
        <v/>
      </c>
      <c r="E101" s="23"/>
      <c r="F101" s="23"/>
      <c r="G101" s="27"/>
      <c r="L101"/>
      <c r="M101" s="67"/>
      <c r="N101" s="16" t="str">
        <f>IF(D101="Liquide","Epandage_Liquide",IF(D101="Solide","Epandage_Solide",""))</f>
        <v/>
      </c>
      <c r="O101" s="16"/>
      <c r="P101" s="66"/>
      <c r="Q101" s="308"/>
      <c r="R101" s="15"/>
    </row>
    <row r="102" spans="1:18" s="17" customFormat="1" x14ac:dyDescent="0.35">
      <c r="A102" s="29">
        <v>2</v>
      </c>
      <c r="B102" s="393"/>
      <c r="C102" s="83"/>
      <c r="D102" s="63" t="str">
        <f t="shared" ref="D102:D110" si="8">IF(ISERROR(VLOOKUP(C102,$B$88:$C$92,2,FALSE)),"",VLOOKUP(C102,$B$88:$C$92,2,FALSE))</f>
        <v/>
      </c>
      <c r="E102" s="23"/>
      <c r="F102" s="23"/>
      <c r="G102" s="27"/>
      <c r="L102"/>
      <c r="M102" s="67"/>
      <c r="N102" s="16" t="str">
        <f t="shared" ref="N102:N110" si="9">IF(D102="Liquide","Epandage_Liquide",IF(D102="Solide","Epandage_Solide",""))</f>
        <v/>
      </c>
      <c r="O102" s="16"/>
      <c r="P102" s="66"/>
      <c r="Q102" s="308"/>
      <c r="R102" s="15"/>
    </row>
    <row r="103" spans="1:18" s="17" customFormat="1" x14ac:dyDescent="0.35">
      <c r="A103" s="29">
        <v>3</v>
      </c>
      <c r="B103" s="393"/>
      <c r="C103" s="83"/>
      <c r="D103" s="63" t="str">
        <f t="shared" si="8"/>
        <v/>
      </c>
      <c r="E103" s="23"/>
      <c r="F103" s="23"/>
      <c r="G103" s="27"/>
      <c r="L103"/>
      <c r="M103" s="67"/>
      <c r="N103" s="16" t="str">
        <f t="shared" si="9"/>
        <v/>
      </c>
      <c r="O103" s="16"/>
      <c r="P103" s="66"/>
      <c r="Q103" s="308"/>
      <c r="R103" s="15"/>
    </row>
    <row r="104" spans="1:18" s="17" customFormat="1" x14ac:dyDescent="0.35">
      <c r="A104" s="29">
        <v>4</v>
      </c>
      <c r="B104" s="393"/>
      <c r="C104" s="83"/>
      <c r="D104" s="63" t="str">
        <f t="shared" si="8"/>
        <v/>
      </c>
      <c r="E104" s="23"/>
      <c r="F104" s="23"/>
      <c r="G104" s="27"/>
      <c r="L104"/>
      <c r="M104" s="67"/>
      <c r="N104" s="16" t="str">
        <f t="shared" si="9"/>
        <v/>
      </c>
      <c r="O104" s="16"/>
      <c r="P104" s="66"/>
      <c r="Q104" s="308"/>
      <c r="R104" s="15"/>
    </row>
    <row r="105" spans="1:18" s="17" customFormat="1" x14ac:dyDescent="0.35">
      <c r="A105" s="29">
        <v>5</v>
      </c>
      <c r="B105" s="393"/>
      <c r="C105" s="83"/>
      <c r="D105" s="63" t="str">
        <f t="shared" si="8"/>
        <v/>
      </c>
      <c r="E105" s="23"/>
      <c r="F105" s="23"/>
      <c r="G105" s="27"/>
      <c r="L105"/>
      <c r="M105" s="67"/>
      <c r="N105" s="16" t="str">
        <f t="shared" si="9"/>
        <v/>
      </c>
      <c r="O105" s="16"/>
      <c r="P105" s="66"/>
      <c r="Q105" s="308"/>
      <c r="R105" s="15"/>
    </row>
    <row r="106" spans="1:18" s="17" customFormat="1" x14ac:dyDescent="0.35">
      <c r="A106" s="29">
        <v>6</v>
      </c>
      <c r="B106" s="393"/>
      <c r="C106" s="83"/>
      <c r="D106" s="63" t="str">
        <f t="shared" si="8"/>
        <v/>
      </c>
      <c r="E106" s="23"/>
      <c r="F106" s="23"/>
      <c r="G106" s="27"/>
      <c r="L106"/>
      <c r="M106" s="67"/>
      <c r="N106" s="16" t="str">
        <f t="shared" si="9"/>
        <v/>
      </c>
      <c r="O106" s="16"/>
      <c r="P106" s="66"/>
      <c r="Q106" s="308"/>
      <c r="R106" s="15"/>
    </row>
    <row r="107" spans="1:18" s="17" customFormat="1" x14ac:dyDescent="0.35">
      <c r="A107" s="29">
        <v>7</v>
      </c>
      <c r="B107" s="393"/>
      <c r="C107" s="83"/>
      <c r="D107" s="63" t="str">
        <f t="shared" si="8"/>
        <v/>
      </c>
      <c r="E107" s="23"/>
      <c r="F107" s="23"/>
      <c r="G107" s="27"/>
      <c r="L107"/>
      <c r="M107" s="67"/>
      <c r="N107" s="16" t="str">
        <f t="shared" si="9"/>
        <v/>
      </c>
      <c r="O107" s="16"/>
      <c r="P107" s="66"/>
      <c r="Q107" s="308"/>
      <c r="R107" s="15"/>
    </row>
    <row r="108" spans="1:18" s="17" customFormat="1" x14ac:dyDescent="0.35">
      <c r="A108" s="29">
        <v>8</v>
      </c>
      <c r="B108" s="393"/>
      <c r="C108" s="83"/>
      <c r="D108" s="63" t="str">
        <f t="shared" si="8"/>
        <v/>
      </c>
      <c r="E108" s="23"/>
      <c r="F108" s="23"/>
      <c r="G108" s="27"/>
      <c r="L108"/>
      <c r="M108" s="67"/>
      <c r="N108" s="16" t="str">
        <f t="shared" si="9"/>
        <v/>
      </c>
      <c r="O108" s="16"/>
      <c r="P108" s="66"/>
      <c r="Q108" s="308"/>
      <c r="R108" s="15"/>
    </row>
    <row r="109" spans="1:18" s="17" customFormat="1" x14ac:dyDescent="0.35">
      <c r="A109" s="29">
        <v>9</v>
      </c>
      <c r="B109" s="393"/>
      <c r="C109" s="83"/>
      <c r="D109" s="63" t="str">
        <f t="shared" si="8"/>
        <v/>
      </c>
      <c r="E109" s="23"/>
      <c r="F109" s="23"/>
      <c r="G109" s="27"/>
      <c r="L109"/>
      <c r="M109" s="67"/>
      <c r="N109" s="16" t="str">
        <f t="shared" si="9"/>
        <v/>
      </c>
      <c r="O109" s="16"/>
      <c r="P109" s="66"/>
      <c r="Q109" s="308"/>
      <c r="R109" s="15"/>
    </row>
    <row r="110" spans="1:18" s="17" customFormat="1" x14ac:dyDescent="0.35">
      <c r="A110" s="29">
        <v>10</v>
      </c>
      <c r="B110" s="393"/>
      <c r="C110" s="83"/>
      <c r="D110" s="63" t="str">
        <f t="shared" si="8"/>
        <v/>
      </c>
      <c r="E110" s="23"/>
      <c r="F110" s="23"/>
      <c r="G110" s="27"/>
      <c r="L110"/>
      <c r="M110" s="67"/>
      <c r="N110" s="16" t="str">
        <f t="shared" si="9"/>
        <v/>
      </c>
      <c r="O110" s="16"/>
      <c r="P110" s="66"/>
      <c r="Q110" s="308"/>
      <c r="R110" s="15"/>
    </row>
    <row r="111" spans="1:18" x14ac:dyDescent="0.35">
      <c r="N111" s="16" t="str">
        <f t="shared" ref="N111" si="10">IF(D111="Liquide","Liste_Liquide",IF(D111="Solide","Liste_Solide",""))</f>
        <v/>
      </c>
    </row>
    <row r="117" spans="1:18" s="14" customFormat="1" x14ac:dyDescent="0.35">
      <c r="A117" s="15"/>
      <c r="B117" s="30"/>
      <c r="D117" s="15"/>
      <c r="E117" s="15"/>
      <c r="F117" s="16"/>
      <c r="G117" s="17"/>
      <c r="H117" s="17"/>
      <c r="I117" s="17"/>
      <c r="J117" s="17"/>
      <c r="K117" s="17"/>
      <c r="L117"/>
      <c r="M117" s="67"/>
      <c r="N117" s="16"/>
      <c r="O117" s="16"/>
      <c r="P117" s="66"/>
      <c r="Q117" s="308"/>
      <c r="R117" s="15"/>
    </row>
    <row r="118" spans="1:18" s="14" customFormat="1" x14ac:dyDescent="0.35">
      <c r="A118" s="15"/>
      <c r="B118" s="18"/>
      <c r="D118" s="15"/>
      <c r="E118" s="15"/>
      <c r="F118" s="16"/>
      <c r="G118" s="17"/>
      <c r="H118" s="17"/>
      <c r="I118" s="17"/>
      <c r="J118" s="17"/>
      <c r="K118" s="17"/>
      <c r="L118"/>
      <c r="M118" s="67"/>
      <c r="N118" s="16"/>
      <c r="O118" s="16"/>
      <c r="P118" s="66"/>
      <c r="Q118" s="308"/>
      <c r="R118" s="15"/>
    </row>
    <row r="119" spans="1:18" s="14" customFormat="1" x14ac:dyDescent="0.35">
      <c r="A119" s="15"/>
      <c r="B119" s="18"/>
      <c r="D119" s="15"/>
      <c r="E119" s="15"/>
      <c r="F119" s="16"/>
      <c r="G119" s="17"/>
      <c r="H119" s="17"/>
      <c r="I119" s="17"/>
      <c r="J119" s="17"/>
      <c r="K119" s="17"/>
      <c r="L119"/>
      <c r="M119" s="67"/>
      <c r="N119" s="16"/>
      <c r="O119" s="16"/>
      <c r="P119" s="66"/>
      <c r="Q119" s="308"/>
      <c r="R119" s="15"/>
    </row>
    <row r="123" spans="1:18" s="14" customFormat="1" x14ac:dyDescent="0.35">
      <c r="A123" s="15"/>
      <c r="B123" s="30"/>
      <c r="D123" s="15"/>
      <c r="E123" s="15"/>
      <c r="F123" s="16"/>
      <c r="G123" s="17"/>
      <c r="H123" s="17"/>
      <c r="I123" s="17"/>
      <c r="J123" s="17"/>
      <c r="K123" s="17"/>
      <c r="L123"/>
      <c r="M123" s="67"/>
      <c r="N123" s="16"/>
      <c r="O123" s="16"/>
      <c r="P123" s="66"/>
      <c r="Q123" s="308"/>
      <c r="R123" s="15"/>
    </row>
    <row r="124" spans="1:18" s="14" customFormat="1" x14ac:dyDescent="0.35">
      <c r="A124" s="15"/>
      <c r="B124" s="31"/>
      <c r="D124" s="15"/>
      <c r="E124" s="15"/>
      <c r="F124" s="16"/>
      <c r="G124" s="17"/>
      <c r="H124" s="17"/>
      <c r="I124" s="17"/>
      <c r="J124" s="17"/>
      <c r="K124" s="17"/>
      <c r="L124"/>
      <c r="M124" s="67"/>
      <c r="N124" s="16"/>
      <c r="O124" s="16"/>
      <c r="P124" s="66"/>
      <c r="Q124" s="308"/>
      <c r="R124" s="15"/>
    </row>
    <row r="125" spans="1:18" s="14" customFormat="1" x14ac:dyDescent="0.35">
      <c r="A125" s="15"/>
      <c r="B125" s="31"/>
      <c r="D125" s="15"/>
      <c r="E125" s="15"/>
      <c r="F125" s="16"/>
      <c r="G125" s="17"/>
      <c r="H125" s="17"/>
      <c r="I125" s="17"/>
      <c r="J125" s="17"/>
      <c r="K125" s="17"/>
      <c r="L125"/>
      <c r="M125" s="67"/>
      <c r="N125" s="16"/>
      <c r="O125" s="16"/>
      <c r="P125" s="66"/>
      <c r="Q125" s="308"/>
      <c r="R125" s="15"/>
    </row>
    <row r="126" spans="1:18" s="14" customFormat="1" x14ac:dyDescent="0.35">
      <c r="A126" s="15"/>
      <c r="B126" s="31"/>
      <c r="D126" s="15"/>
      <c r="E126" s="15"/>
      <c r="F126" s="16"/>
      <c r="G126" s="17"/>
      <c r="H126" s="17"/>
      <c r="I126" s="17"/>
      <c r="J126" s="17"/>
      <c r="K126" s="17"/>
      <c r="L126"/>
      <c r="M126" s="67"/>
      <c r="N126" s="16"/>
      <c r="O126" s="16"/>
      <c r="P126" s="66"/>
      <c r="Q126" s="308"/>
      <c r="R126" s="15"/>
    </row>
    <row r="127" spans="1:18" s="14" customFormat="1" x14ac:dyDescent="0.35">
      <c r="A127" s="15"/>
      <c r="B127" s="31"/>
      <c r="D127" s="15"/>
      <c r="E127" s="15"/>
      <c r="F127" s="16"/>
      <c r="G127" s="17"/>
      <c r="H127" s="17"/>
      <c r="I127" s="17"/>
      <c r="J127" s="17"/>
      <c r="K127" s="17"/>
      <c r="L127"/>
      <c r="M127" s="67"/>
      <c r="N127" s="16"/>
      <c r="O127" s="16"/>
      <c r="P127" s="66"/>
      <c r="Q127" s="308"/>
      <c r="R127" s="15"/>
    </row>
    <row r="128" spans="1:18" s="14" customFormat="1" x14ac:dyDescent="0.35">
      <c r="A128" s="15"/>
      <c r="B128" s="31"/>
      <c r="D128" s="15"/>
      <c r="E128" s="15"/>
      <c r="F128" s="16"/>
      <c r="G128" s="17"/>
      <c r="H128" s="17"/>
      <c r="I128" s="17"/>
      <c r="J128" s="17"/>
      <c r="K128" s="17"/>
      <c r="L128"/>
      <c r="M128" s="67"/>
      <c r="N128" s="16"/>
      <c r="O128" s="16"/>
      <c r="P128" s="66"/>
      <c r="Q128" s="308"/>
      <c r="R128" s="15"/>
    </row>
    <row r="129" spans="1:18" s="14" customFormat="1" x14ac:dyDescent="0.35">
      <c r="A129" s="15"/>
      <c r="B129" s="31"/>
      <c r="D129" s="15"/>
      <c r="E129" s="15"/>
      <c r="F129" s="16"/>
      <c r="G129" s="17"/>
      <c r="H129" s="17"/>
      <c r="I129" s="17"/>
      <c r="J129" s="17"/>
      <c r="K129" s="17"/>
      <c r="L129"/>
      <c r="M129" s="67"/>
      <c r="N129" s="16"/>
      <c r="O129" s="16"/>
      <c r="P129" s="66"/>
      <c r="Q129" s="308"/>
      <c r="R129" s="15"/>
    </row>
    <row r="130" spans="1:18" s="14" customFormat="1" x14ac:dyDescent="0.35">
      <c r="A130" s="15"/>
      <c r="B130" s="31"/>
      <c r="D130" s="15"/>
      <c r="E130" s="15"/>
      <c r="F130" s="16"/>
      <c r="G130" s="17"/>
      <c r="H130" s="17"/>
      <c r="I130" s="17"/>
      <c r="J130" s="17"/>
      <c r="K130" s="17"/>
      <c r="L130"/>
      <c r="M130" s="67"/>
      <c r="N130" s="16"/>
      <c r="O130" s="16"/>
      <c r="P130" s="66"/>
      <c r="Q130" s="308"/>
      <c r="R130" s="15"/>
    </row>
    <row r="132" spans="1:18" s="14" customFormat="1" x14ac:dyDescent="0.35">
      <c r="A132" s="15"/>
      <c r="B132" s="30"/>
      <c r="D132" s="15"/>
      <c r="E132" s="15"/>
      <c r="F132" s="16"/>
      <c r="G132" s="17"/>
      <c r="H132" s="17"/>
      <c r="I132" s="17"/>
      <c r="J132" s="17"/>
      <c r="K132" s="17"/>
      <c r="L132"/>
      <c r="M132" s="67"/>
      <c r="N132" s="16"/>
      <c r="O132" s="16"/>
      <c r="P132" s="66"/>
      <c r="Q132" s="308"/>
      <c r="R132" s="15"/>
    </row>
    <row r="133" spans="1:18" s="14" customFormat="1" x14ac:dyDescent="0.35">
      <c r="A133" s="15"/>
      <c r="B133" s="30"/>
      <c r="D133" s="15"/>
      <c r="E133" s="15"/>
      <c r="F133" s="16"/>
      <c r="G133" s="17"/>
      <c r="H133" s="17"/>
      <c r="I133" s="17"/>
      <c r="J133" s="17"/>
      <c r="K133" s="17"/>
      <c r="L133"/>
      <c r="M133" s="67"/>
      <c r="N133" s="16"/>
      <c r="O133" s="16"/>
      <c r="P133" s="66"/>
      <c r="Q133" s="308"/>
      <c r="R133" s="15"/>
    </row>
    <row r="134" spans="1:18" s="14" customFormat="1" x14ac:dyDescent="0.35">
      <c r="A134" s="15"/>
      <c r="B134" s="31"/>
      <c r="D134" s="15"/>
      <c r="E134" s="15"/>
      <c r="F134" s="16"/>
      <c r="G134" s="17"/>
      <c r="H134" s="17"/>
      <c r="I134" s="17"/>
      <c r="J134" s="17"/>
      <c r="K134" s="17"/>
      <c r="L134"/>
      <c r="M134" s="67"/>
      <c r="N134" s="16"/>
      <c r="O134" s="16"/>
      <c r="P134" s="66"/>
      <c r="Q134" s="308"/>
      <c r="R134" s="15"/>
    </row>
    <row r="135" spans="1:18" s="14" customFormat="1" x14ac:dyDescent="0.35">
      <c r="A135" s="15"/>
      <c r="B135" s="31"/>
      <c r="D135" s="15"/>
      <c r="E135" s="15"/>
      <c r="F135" s="16"/>
      <c r="G135" s="17"/>
      <c r="H135" s="17"/>
      <c r="I135" s="17"/>
      <c r="J135" s="17"/>
      <c r="K135" s="17"/>
      <c r="L135"/>
      <c r="M135" s="67"/>
      <c r="N135" s="16"/>
      <c r="O135" s="16"/>
      <c r="P135" s="66"/>
      <c r="Q135" s="308"/>
      <c r="R135" s="15"/>
    </row>
    <row r="136" spans="1:18" s="14" customFormat="1" x14ac:dyDescent="0.35">
      <c r="A136" s="15"/>
      <c r="B136" s="31"/>
      <c r="D136" s="15"/>
      <c r="E136" s="15"/>
      <c r="F136" s="16"/>
      <c r="G136" s="17"/>
      <c r="H136" s="17"/>
      <c r="I136" s="17"/>
      <c r="J136" s="17"/>
      <c r="K136" s="17"/>
      <c r="L136"/>
      <c r="M136" s="67"/>
      <c r="N136" s="16"/>
      <c r="O136" s="16"/>
      <c r="P136" s="66"/>
      <c r="Q136" s="308"/>
      <c r="R136" s="15"/>
    </row>
    <row r="137" spans="1:18" s="14" customFormat="1" x14ac:dyDescent="0.35">
      <c r="A137" s="15"/>
      <c r="B137" s="31"/>
      <c r="D137" s="15"/>
      <c r="E137" s="15"/>
      <c r="F137" s="16"/>
      <c r="G137" s="17"/>
      <c r="H137" s="17"/>
      <c r="I137" s="17"/>
      <c r="J137" s="17"/>
      <c r="K137" s="17"/>
      <c r="L137"/>
      <c r="M137" s="67"/>
      <c r="N137" s="16"/>
      <c r="O137" s="16"/>
      <c r="P137" s="66"/>
      <c r="Q137" s="308"/>
      <c r="R137" s="15"/>
    </row>
    <row r="138" spans="1:18" s="14" customFormat="1" x14ac:dyDescent="0.35">
      <c r="A138" s="15"/>
      <c r="B138" s="31"/>
      <c r="D138" s="15"/>
      <c r="E138" s="15"/>
      <c r="F138" s="16"/>
      <c r="G138" s="17"/>
      <c r="H138" s="17"/>
      <c r="I138" s="17"/>
      <c r="J138" s="17"/>
      <c r="K138" s="17"/>
      <c r="L138"/>
      <c r="M138" s="67"/>
      <c r="N138" s="16"/>
      <c r="O138" s="16"/>
      <c r="P138" s="66"/>
      <c r="Q138" s="308"/>
      <c r="R138" s="15"/>
    </row>
    <row r="139" spans="1:18" s="14" customFormat="1" x14ac:dyDescent="0.35">
      <c r="A139" s="15"/>
      <c r="B139" s="31"/>
      <c r="D139" s="15"/>
      <c r="E139" s="15"/>
      <c r="F139" s="16"/>
      <c r="G139" s="17"/>
      <c r="H139" s="17"/>
      <c r="I139" s="17"/>
      <c r="J139" s="17"/>
      <c r="K139" s="17"/>
      <c r="L139"/>
      <c r="M139" s="67"/>
      <c r="N139" s="16"/>
      <c r="O139" s="16"/>
      <c r="P139" s="66"/>
      <c r="Q139" s="308"/>
      <c r="R139" s="15"/>
    </row>
    <row r="140" spans="1:18" s="14" customFormat="1" x14ac:dyDescent="0.35">
      <c r="A140" s="15"/>
      <c r="B140" s="30"/>
      <c r="D140" s="15"/>
      <c r="E140" s="15"/>
      <c r="F140" s="16"/>
      <c r="G140" s="17"/>
      <c r="H140" s="17"/>
      <c r="I140" s="17"/>
      <c r="J140" s="17"/>
      <c r="K140" s="17"/>
      <c r="L140"/>
      <c r="M140" s="67"/>
      <c r="N140" s="16"/>
      <c r="O140" s="16"/>
      <c r="P140" s="66"/>
      <c r="Q140" s="308"/>
      <c r="R140" s="15"/>
    </row>
    <row r="141" spans="1:18" s="14" customFormat="1" x14ac:dyDescent="0.35">
      <c r="A141" s="15"/>
      <c r="B141" s="31"/>
      <c r="D141" s="15"/>
      <c r="E141" s="15"/>
      <c r="F141" s="16"/>
      <c r="G141" s="17"/>
      <c r="H141" s="17"/>
      <c r="I141" s="17"/>
      <c r="J141" s="17"/>
      <c r="K141" s="17"/>
      <c r="L141"/>
      <c r="M141" s="67"/>
      <c r="N141" s="16"/>
      <c r="O141" s="16"/>
      <c r="P141" s="66"/>
      <c r="Q141" s="308"/>
      <c r="R141" s="15"/>
    </row>
    <row r="142" spans="1:18" s="14" customFormat="1" x14ac:dyDescent="0.35">
      <c r="A142" s="15"/>
      <c r="B142" s="31"/>
      <c r="D142" s="15"/>
      <c r="E142" s="15"/>
      <c r="F142" s="16"/>
      <c r="G142" s="17"/>
      <c r="H142" s="17"/>
      <c r="I142" s="17"/>
      <c r="J142" s="17"/>
      <c r="K142" s="17"/>
      <c r="L142"/>
      <c r="M142" s="67"/>
      <c r="N142" s="16"/>
      <c r="O142" s="16"/>
      <c r="P142" s="66"/>
      <c r="Q142" s="308"/>
      <c r="R142" s="15"/>
    </row>
  </sheetData>
  <mergeCells count="11">
    <mergeCell ref="B2:C2"/>
    <mergeCell ref="B3:C3"/>
    <mergeCell ref="B4:C4"/>
    <mergeCell ref="B5:C5"/>
    <mergeCell ref="B7:C7"/>
    <mergeCell ref="B6:C6"/>
    <mergeCell ref="D50:E50"/>
    <mergeCell ref="A97:K97"/>
    <mergeCell ref="C13:I13"/>
    <mergeCell ref="K52:L52"/>
    <mergeCell ref="H78:I78"/>
  </mergeCells>
  <phoneticPr fontId="61" type="noConversion"/>
  <conditionalFormatting sqref="F54:F73">
    <cfRule type="expression" dxfId="46" priority="30">
      <formula>D54&lt;&gt;"Litière"</formula>
    </cfRule>
  </conditionalFormatting>
  <conditionalFormatting sqref="D80:D84 D88:D92">
    <cfRule type="expression" dxfId="45" priority="21">
      <formula>$C$50&lt;&gt;"OUI"</formula>
    </cfRule>
  </conditionalFormatting>
  <conditionalFormatting sqref="E80:E84 E88:E92">
    <cfRule type="expression" dxfId="44" priority="20">
      <formula>$F$50&lt;&gt;"OUI"</formula>
    </cfRule>
  </conditionalFormatting>
  <conditionalFormatting sqref="D80:D84">
    <cfRule type="expression" dxfId="43" priority="15">
      <formula>$C80&lt;&gt;"Liquide"</formula>
    </cfRule>
  </conditionalFormatting>
  <conditionalFormatting sqref="E80:E84">
    <cfRule type="expression" dxfId="42" priority="14">
      <formula>$C80&lt;&gt;"Solide"</formula>
    </cfRule>
  </conditionalFormatting>
  <conditionalFormatting sqref="D88:D92">
    <cfRule type="expression" dxfId="41" priority="13">
      <formula>$C88&lt;&gt;"Liquide"</formula>
    </cfRule>
  </conditionalFormatting>
  <conditionalFormatting sqref="E88:E92">
    <cfRule type="expression" dxfId="40" priority="12">
      <formula>$C88&lt;&gt;"Solide"</formula>
    </cfRule>
  </conditionalFormatting>
  <conditionalFormatting sqref="K54:K73">
    <cfRule type="expression" dxfId="39" priority="10">
      <formula>SEARCH("Liquide",$J54)</formula>
    </cfRule>
  </conditionalFormatting>
  <conditionalFormatting sqref="L54:L73">
    <cfRule type="expression" dxfId="38" priority="9">
      <formula>SEARCH("Solide",$J54)</formula>
    </cfRule>
  </conditionalFormatting>
  <conditionalFormatting sqref="H80:H84">
    <cfRule type="expression" dxfId="37" priority="7">
      <formula>SEARCH("Liquide",$G80)</formula>
    </cfRule>
  </conditionalFormatting>
  <conditionalFormatting sqref="I80:I84">
    <cfRule type="expression" dxfId="36" priority="6">
      <formula>SEARCH("Solide",$G80)</formula>
    </cfRule>
  </conditionalFormatting>
  <conditionalFormatting sqref="E94:E95">
    <cfRule type="expression" dxfId="35" priority="5">
      <formula>AND($F$50&lt;&gt;"OUI",$C$50&lt;&gt;"OUI")</formula>
    </cfRule>
  </conditionalFormatting>
  <conditionalFormatting sqref="B80:I84">
    <cfRule type="expression" dxfId="34" priority="4">
      <formula>$C$77&lt;&gt;"OUI"</formula>
    </cfRule>
  </conditionalFormatting>
  <conditionalFormatting sqref="I54:I73">
    <cfRule type="expression" dxfId="33" priority="1">
      <formula>OR($H54="Biolaveur",$H54="Laveur d'air combiné",$H54="Laveur acide")</formula>
    </cfRule>
  </conditionalFormatting>
  <dataValidations count="20">
    <dataValidation type="list" allowBlank="1" showInputMessage="1" showErrorMessage="1" sqref="F88:F92 F101:F110" xr:uid="{00000000-0002-0000-0300-000000000000}">
      <formula1>INDIRECT(N88)</formula1>
    </dataValidation>
    <dataValidation type="list" allowBlank="1" showInputMessage="1" showErrorMessage="1" sqref="F80:F84" xr:uid="{00000000-0002-0000-0300-000001000000}">
      <formula1>INDIRECT(O80)</formula1>
    </dataValidation>
    <dataValidation type="list" allowBlank="1" showInputMessage="1" showErrorMessage="1" sqref="D54:D73" xr:uid="{00000000-0002-0000-0300-000002000000}">
      <formula1>INDIRECT(T54)</formula1>
    </dataValidation>
    <dataValidation type="list" allowBlank="1" showInputMessage="1" showErrorMessage="1" sqref="L54:L73" xr:uid="{00000000-0002-0000-0300-000003000000}">
      <formula1>INDIRECT($W54)</formula1>
    </dataValidation>
    <dataValidation type="list" allowBlank="1" showInputMessage="1" showErrorMessage="1" sqref="K54:K73" xr:uid="{00000000-0002-0000-0300-000004000000}">
      <formula1>INDIRECT($V54)</formula1>
    </dataValidation>
    <dataValidation type="list" allowBlank="1" showInputMessage="1" showErrorMessage="1" sqref="F50 C77 C50" xr:uid="{00000000-0002-0000-0300-000005000000}">
      <formula1>question_traitement</formula1>
    </dataValidation>
    <dataValidation type="list" allowBlank="1" showInputMessage="1" showErrorMessage="1" sqref="C101:C110" xr:uid="{00000000-0002-0000-0300-000006000000}">
      <formula1>$B$88:$B$92</formula1>
    </dataValidation>
    <dataValidation type="list" allowBlank="1" showInputMessage="1" showErrorMessage="1" sqref="C88:C92 C80:C84" xr:uid="{00000000-0002-0000-0300-000007000000}">
      <formula1>type_effluent</formula1>
    </dataValidation>
    <dataValidation type="decimal" allowBlank="1" showInputMessage="1" showErrorMessage="1" sqref="G101:G110 C40:I40" xr:uid="{00000000-0002-0000-0300-000008000000}">
      <formula1>0</formula1>
      <formula2>100</formula2>
    </dataValidation>
    <dataValidation type="list" allowBlank="1" showInputMessage="1" showErrorMessage="1" sqref="E101:E110" xr:uid="{00000000-0002-0000-0300-000009000000}">
      <formula1>devenir_efflu</formula1>
    </dataValidation>
    <dataValidation type="list" allowBlank="1" showInputMessage="1" showErrorMessage="1" sqref="C54:C73" xr:uid="{00000000-0002-0000-0300-00000A000000}">
      <formula1>liste_sols</formula1>
    </dataValidation>
    <dataValidation type="list" allowBlank="1" showInputMessage="1" showErrorMessage="1" sqref="E54:E73" xr:uid="{00000000-0002-0000-0300-00000B000000}">
      <formula1>duree_stockage</formula1>
    </dataValidation>
    <dataValidation type="list" allowBlank="1" showInputMessage="1" showErrorMessage="1" sqref="G54:G73" xr:uid="{00000000-0002-0000-0300-00000C000000}">
      <formula1>gestion_ambiance</formula1>
    </dataValidation>
    <dataValidation type="list" allowBlank="1" showInputMessage="1" showErrorMessage="1" sqref="H54:H73" xr:uid="{00000000-0002-0000-0300-00000D000000}">
      <formula1>Traitement_air</formula1>
    </dataValidation>
    <dataValidation type="list" allowBlank="1" showInputMessage="1" showErrorMessage="1" sqref="C41:I41" xr:uid="{00000000-0002-0000-0300-00000E000000}">
      <formula1>liste_alim</formula1>
    </dataValidation>
    <dataValidation type="list" allowBlank="1" showInputMessage="1" showErrorMessage="1" sqref="C10" xr:uid="{00000000-0002-0000-0300-00000F000000}">
      <formula1>Régions</formula1>
    </dataValidation>
    <dataValidation type="whole" operator="greaterThan" allowBlank="1" showInputMessage="1" showErrorMessage="1" sqref="C15:I34" xr:uid="{00000000-0002-0000-0300-000010000000}">
      <formula1>0</formula1>
    </dataValidation>
    <dataValidation type="list" allowBlank="1" showInputMessage="1" showErrorMessage="1" sqref="H80:H84" xr:uid="{00000000-0002-0000-0300-000011000000}">
      <formula1>liste_stock_liquide</formula1>
    </dataValidation>
    <dataValidation type="list" allowBlank="1" showInputMessage="1" showErrorMessage="1" sqref="I80:I84" xr:uid="{00000000-0002-0000-0300-000012000000}">
      <formula1>liste_stock_solide</formula1>
    </dataValidation>
    <dataValidation type="list" allowBlank="1" showInputMessage="1" showErrorMessage="1" sqref="D42" xr:uid="{CEF6C3E3-40F0-4BEE-BCDD-3642848A05E8}">
      <formula1>acide</formula1>
    </dataValidation>
  </dataValidation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B586"/>
  <sheetViews>
    <sheetView zoomScale="70" zoomScaleNormal="70" workbookViewId="0">
      <selection activeCell="C18" sqref="C18"/>
    </sheetView>
  </sheetViews>
  <sheetFormatPr baseColWidth="10" defaultColWidth="11.54296875" defaultRowHeight="14.5" x14ac:dyDescent="0.35"/>
  <cols>
    <col min="1" max="1" width="6.1796875" style="51" customWidth="1"/>
    <col min="2" max="2" width="29.7265625" style="51" customWidth="1"/>
    <col min="3" max="3" width="33.1796875" style="51" customWidth="1"/>
    <col min="4" max="4" width="31.7265625" style="51" customWidth="1"/>
    <col min="5" max="5" width="29.81640625" style="51" customWidth="1"/>
    <col min="6" max="6" width="25.1796875" style="51" customWidth="1"/>
    <col min="7" max="7" width="26.7265625" style="51" customWidth="1"/>
    <col min="8" max="8" width="26.26953125" style="51" customWidth="1"/>
    <col min="9" max="10" width="25.7265625" style="51" customWidth="1"/>
    <col min="11" max="11" width="25.453125" style="51" customWidth="1"/>
    <col min="12" max="12" width="26.81640625" style="51" customWidth="1"/>
    <col min="13" max="13" width="26.7265625" style="51" customWidth="1"/>
    <col min="14" max="14" width="23.81640625" style="51" customWidth="1"/>
    <col min="15" max="15" width="21.54296875" style="51" customWidth="1"/>
    <col min="16" max="16" width="21.7265625" style="51" customWidth="1"/>
    <col min="17" max="17" width="23.453125" style="51" customWidth="1"/>
    <col min="18" max="18" width="20.7265625" style="51" customWidth="1"/>
    <col min="19" max="19" width="21.26953125" style="51" customWidth="1"/>
    <col min="20" max="20" width="20.26953125" style="51" customWidth="1"/>
    <col min="21" max="21" width="27.26953125" style="51" customWidth="1"/>
    <col min="22" max="22" width="22.1796875" style="51" customWidth="1"/>
    <col min="23" max="23" width="25.26953125" style="51" customWidth="1"/>
    <col min="24" max="24" width="20.7265625" style="51" customWidth="1"/>
    <col min="25" max="25" width="16.81640625" style="51" customWidth="1"/>
    <col min="26" max="26" width="16.7265625" style="51" customWidth="1"/>
    <col min="27" max="27" width="15.1796875" style="51" customWidth="1"/>
    <col min="28" max="28" width="14.7265625" style="51" customWidth="1"/>
    <col min="29" max="29" width="18" style="51" customWidth="1"/>
    <col min="30" max="30" width="16.26953125" style="51" customWidth="1"/>
    <col min="31" max="32" width="15.54296875" style="51" customWidth="1"/>
    <col min="33" max="33" width="16.453125" style="51" customWidth="1"/>
    <col min="34" max="34" width="14.453125" style="51" customWidth="1"/>
    <col min="35" max="35" width="13.1796875" style="51" customWidth="1"/>
    <col min="36" max="36" width="14.26953125" style="51" customWidth="1"/>
    <col min="37" max="38" width="15.81640625" style="51" customWidth="1"/>
    <col min="39" max="41" width="11.54296875" style="51"/>
    <col min="42" max="42" width="17.1796875" style="51" customWidth="1"/>
    <col min="43" max="43" width="16.7265625" style="51" customWidth="1"/>
    <col min="44" max="44" width="16.26953125" style="51" customWidth="1"/>
    <col min="45" max="47" width="11.54296875" style="51"/>
    <col min="48" max="48" width="16" style="51" customWidth="1"/>
    <col min="49" max="53" width="11.54296875" style="51"/>
    <col min="54" max="54" width="11.1796875" style="51" customWidth="1"/>
    <col min="55" max="61" width="11.54296875" style="51"/>
    <col min="62" max="62" width="14.7265625" style="51" customWidth="1"/>
    <col min="63" max="64" width="11.54296875" style="51"/>
    <col min="65" max="65" width="16.26953125" style="51" customWidth="1"/>
    <col min="66" max="66" width="16.453125" style="51" customWidth="1"/>
    <col min="67" max="67" width="15.54296875" style="51" customWidth="1"/>
    <col min="68" max="169" width="11.54296875" style="51"/>
    <col min="170" max="170" width="13.7265625" style="51" customWidth="1"/>
    <col min="171" max="172" width="11.54296875" style="51"/>
    <col min="173" max="173" width="15.26953125" style="51" customWidth="1"/>
    <col min="174" max="174" width="15.54296875" style="51" customWidth="1"/>
    <col min="175" max="207" width="11.54296875" style="51"/>
    <col min="208" max="208" width="19.54296875" style="51" customWidth="1"/>
    <col min="209" max="16384" width="11.54296875" style="51"/>
  </cols>
  <sheetData>
    <row r="1" spans="1:3" ht="18.5" x14ac:dyDescent="0.45">
      <c r="A1" s="553" t="s">
        <v>160</v>
      </c>
      <c r="B1" s="553"/>
      <c r="C1" s="553"/>
    </row>
    <row r="2" spans="1:3" ht="18.5" x14ac:dyDescent="0.45">
      <c r="A2" s="100"/>
      <c r="B2" s="100"/>
      <c r="C2" s="100"/>
    </row>
    <row r="3" spans="1:3" ht="12.75" customHeight="1" x14ac:dyDescent="0.45">
      <c r="A3" s="101"/>
      <c r="B3" s="39" t="s">
        <v>162</v>
      </c>
      <c r="C3" s="100"/>
    </row>
    <row r="4" spans="1:3" ht="12.75" customHeight="1" x14ac:dyDescent="0.45">
      <c r="A4" s="102"/>
      <c r="B4" s="39" t="s">
        <v>163</v>
      </c>
      <c r="C4" s="100"/>
    </row>
    <row r="5" spans="1:3" ht="12.75" customHeight="1" x14ac:dyDescent="0.45">
      <c r="A5" s="103"/>
      <c r="B5" s="39" t="s">
        <v>167</v>
      </c>
      <c r="C5" s="100"/>
    </row>
    <row r="6" spans="1:3" ht="12.75" customHeight="1" x14ac:dyDescent="0.45">
      <c r="A6" s="104"/>
      <c r="B6" s="39" t="s">
        <v>168</v>
      </c>
      <c r="C6" s="100"/>
    </row>
    <row r="7" spans="1:3" ht="14.25" customHeight="1" x14ac:dyDescent="0.45">
      <c r="A7" s="105"/>
      <c r="B7" s="39" t="s">
        <v>164</v>
      </c>
      <c r="C7" s="100"/>
    </row>
    <row r="9" spans="1:3" s="107" customFormat="1" ht="26" x14ac:dyDescent="0.6">
      <c r="A9" s="106" t="s">
        <v>244</v>
      </c>
    </row>
    <row r="11" spans="1:3" x14ac:dyDescent="0.35">
      <c r="B11" s="108" t="s">
        <v>71</v>
      </c>
      <c r="C11" s="109" t="str">
        <f>IF(OR(Exploitation!F38&lt;&gt;0,Exploitation!G38&lt;&gt;0,Exploitation!H38&lt;&gt;0),"naisseur_engraisseur","engraisseur")</f>
        <v>engraisseur</v>
      </c>
    </row>
    <row r="12" spans="1:3" x14ac:dyDescent="0.35">
      <c r="B12" s="108" t="s">
        <v>26</v>
      </c>
      <c r="C12" s="109">
        <f>Exploitation!C10</f>
        <v>0</v>
      </c>
    </row>
    <row r="13" spans="1:3" x14ac:dyDescent="0.35">
      <c r="B13" s="108" t="s">
        <v>243</v>
      </c>
      <c r="C13" s="109" t="e">
        <f>ROUNDUP(VLOOKUP(C12,'Données d''entrée'!B7:C33,2,FALSE),0)</f>
        <v>#N/A</v>
      </c>
    </row>
    <row r="15" spans="1:3" s="110" customFormat="1" ht="26" x14ac:dyDescent="0.6">
      <c r="A15" s="106" t="s">
        <v>161</v>
      </c>
    </row>
    <row r="17" spans="1:10" x14ac:dyDescent="0.35">
      <c r="B17" s="111"/>
      <c r="C17" s="112" t="s">
        <v>46</v>
      </c>
      <c r="D17" s="112" t="s">
        <v>47</v>
      </c>
      <c r="E17" s="112" t="s">
        <v>51</v>
      </c>
      <c r="F17" s="112" t="s">
        <v>124</v>
      </c>
      <c r="G17" s="112" t="s">
        <v>49</v>
      </c>
      <c r="H17" s="112" t="s">
        <v>48</v>
      </c>
      <c r="I17" s="112" t="s">
        <v>52</v>
      </c>
      <c r="J17" s="302" t="s">
        <v>19</v>
      </c>
    </row>
    <row r="18" spans="1:10" x14ac:dyDescent="0.35">
      <c r="B18" s="113" t="s">
        <v>62</v>
      </c>
      <c r="C18" s="114">
        <f>SUM(Exploitation!C$15:C$34)</f>
        <v>0</v>
      </c>
      <c r="D18" s="114">
        <f>SUM(Exploitation!D$15:D$34)</f>
        <v>0</v>
      </c>
      <c r="E18" s="114">
        <f>SUM(Exploitation!E$15:E$34)</f>
        <v>0</v>
      </c>
      <c r="F18" s="114">
        <f>SUM(Exploitation!F$15:F$34)</f>
        <v>0</v>
      </c>
      <c r="G18" s="114">
        <f>SUM(Exploitation!G$15:G$34)</f>
        <v>0</v>
      </c>
      <c r="H18" s="114">
        <f>SUM(Exploitation!H$15:H$34)</f>
        <v>0</v>
      </c>
      <c r="I18" s="114">
        <f>SUM(Exploitation!I$15:I$34)</f>
        <v>0</v>
      </c>
    </row>
    <row r="19" spans="1:10" x14ac:dyDescent="0.35">
      <c r="B19" s="113" t="s">
        <v>331</v>
      </c>
      <c r="C19" s="115" t="str">
        <f>IF(Exploitation!C$39="","",Exploitation!C$39)</f>
        <v/>
      </c>
      <c r="D19" s="115" t="str">
        <f>IF(Exploitation!D$39="","",Exploitation!D$39)</f>
        <v/>
      </c>
      <c r="E19" s="115" t="str">
        <f>IF(Exploitation!E$39="","",Exploitation!E$39)</f>
        <v/>
      </c>
      <c r="F19" s="115" t="str">
        <f>IF(Exploitation!F$39="","",Exploitation!F$39)</f>
        <v/>
      </c>
      <c r="G19" s="115" t="str">
        <f>IF(Exploitation!G$39="","",Exploitation!G$39)</f>
        <v/>
      </c>
      <c r="H19" s="115" t="str">
        <f>IF(Exploitation!H$39="","",Exploitation!H$39)</f>
        <v/>
      </c>
      <c r="I19" s="115" t="str">
        <f>IF(Exploitation!I$39="","",Exploitation!I$39)</f>
        <v/>
      </c>
    </row>
    <row r="20" spans="1:10" x14ac:dyDescent="0.35">
      <c r="B20" s="113" t="s">
        <v>63</v>
      </c>
      <c r="C20" s="115" t="str">
        <f>IF(Exploitation!C$40="","",Exploitation!C$40)</f>
        <v/>
      </c>
      <c r="D20" s="115" t="str">
        <f>IF(Exploitation!D$40="","",Exploitation!D$40)</f>
        <v/>
      </c>
      <c r="E20" s="115" t="str">
        <f>IF(Exploitation!E$40="","",Exploitation!E$40)</f>
        <v/>
      </c>
      <c r="F20" s="115" t="str">
        <f>IF(Exploitation!F$40="","",Exploitation!F$40)</f>
        <v/>
      </c>
      <c r="G20" s="115" t="str">
        <f>IF(Exploitation!G$40="","",Exploitation!G$40)</f>
        <v/>
      </c>
      <c r="H20" s="115" t="str">
        <f>IF(Exploitation!H$40="","",Exploitation!H$40)</f>
        <v/>
      </c>
      <c r="I20" s="115" t="str">
        <f>IF(Exploitation!I$40="","",Exploitation!I$40)</f>
        <v/>
      </c>
    </row>
    <row r="21" spans="1:10" x14ac:dyDescent="0.35">
      <c r="B21" s="113" t="s">
        <v>61</v>
      </c>
      <c r="C21" s="116">
        <f>'Données d''entrée'!C$83</f>
        <v>6</v>
      </c>
      <c r="D21" s="116">
        <f>'Données d''entrée'!D$83</f>
        <v>3</v>
      </c>
      <c r="E21" s="116">
        <f>'Données d''entrée'!E$83</f>
        <v>3</v>
      </c>
      <c r="F21" s="116">
        <f>'Données d''entrée'!F$83</f>
        <v>1</v>
      </c>
      <c r="G21" s="116">
        <f>'Données d''entrée'!G$83</f>
        <v>1</v>
      </c>
      <c r="H21" s="116">
        <f>'Données d''entrée'!H$83</f>
        <v>1</v>
      </c>
      <c r="I21" s="116">
        <f>'Données d''entrée'!I$83</f>
        <v>1</v>
      </c>
    </row>
    <row r="22" spans="1:10" x14ac:dyDescent="0.35">
      <c r="B22" s="113" t="s">
        <v>41</v>
      </c>
      <c r="C22" s="117">
        <f>IF(ISERROR(C18*C19*C20),0,C18*C19*C20)</f>
        <v>0</v>
      </c>
      <c r="D22" s="117">
        <f t="shared" ref="D22:I22" si="0">IF(ISERROR(D18*D19*D20),0,D18*D19*D20)</f>
        <v>0</v>
      </c>
      <c r="E22" s="117">
        <f t="shared" si="0"/>
        <v>0</v>
      </c>
      <c r="F22" s="117">
        <f t="shared" si="0"/>
        <v>0</v>
      </c>
      <c r="G22" s="117">
        <f t="shared" si="0"/>
        <v>0</v>
      </c>
      <c r="H22" s="117">
        <f t="shared" si="0"/>
        <v>0</v>
      </c>
      <c r="I22" s="117">
        <f t="shared" si="0"/>
        <v>0</v>
      </c>
      <c r="J22" s="117">
        <f>SUM(C22:I22)</f>
        <v>0</v>
      </c>
    </row>
    <row r="23" spans="1:10" x14ac:dyDescent="0.35">
      <c r="B23" s="113" t="s">
        <v>714</v>
      </c>
      <c r="C23" s="352">
        <f>HLOOKUP($C$11,'Données d''entrée'!$C$75:$D$77,2,FALSE)</f>
        <v>1.8</v>
      </c>
      <c r="D23" s="352">
        <f>HLOOKUP($C$11,'Données d''entrée'!$C$75:$D$77,3,FALSE)</f>
        <v>3.555098891541328</v>
      </c>
      <c r="E23" s="352">
        <f>HLOOKUP($C$11,'Données d''entrée'!$C$75:$D$77,3,FALSE)</f>
        <v>3.555098891541328</v>
      </c>
      <c r="F23" s="121">
        <v>0</v>
      </c>
      <c r="G23" s="121">
        <v>0</v>
      </c>
      <c r="H23" s="121">
        <v>0</v>
      </c>
      <c r="I23" s="121">
        <v>0</v>
      </c>
    </row>
    <row r="24" spans="1:10" x14ac:dyDescent="0.35">
      <c r="B24" s="113" t="s">
        <v>715</v>
      </c>
      <c r="C24" s="117" t="str">
        <f>IF(ISERROR(C18*C19*C20*C21*(1-C23%/2)),"",C18*C19*C20*C21*(1-C23%/2))</f>
        <v/>
      </c>
      <c r="D24" s="117" t="str">
        <f t="shared" ref="D24:I24" si="1">IF(ISERROR(D18*D19*D20*D21*(1-D23%/2)),"",D18*D19*D20*D21*(1-D23%/2))</f>
        <v/>
      </c>
      <c r="E24" s="117" t="str">
        <f t="shared" si="1"/>
        <v/>
      </c>
      <c r="F24" s="117" t="str">
        <f t="shared" si="1"/>
        <v/>
      </c>
      <c r="G24" s="117" t="str">
        <f t="shared" si="1"/>
        <v/>
      </c>
      <c r="H24" s="117" t="str">
        <f t="shared" si="1"/>
        <v/>
      </c>
      <c r="I24" s="117" t="str">
        <f t="shared" si="1"/>
        <v/>
      </c>
    </row>
    <row r="26" spans="1:10" s="110" customFormat="1" ht="26" x14ac:dyDescent="0.6">
      <c r="A26" s="106" t="s">
        <v>165</v>
      </c>
    </row>
    <row r="28" spans="1:10" x14ac:dyDescent="0.35">
      <c r="C28" s="112" t="s">
        <v>46</v>
      </c>
      <c r="D28" s="112" t="s">
        <v>47</v>
      </c>
      <c r="E28" s="112" t="s">
        <v>51</v>
      </c>
      <c r="F28" s="112" t="s">
        <v>124</v>
      </c>
      <c r="G28" s="112" t="s">
        <v>49</v>
      </c>
      <c r="H28" s="112" t="s">
        <v>48</v>
      </c>
      <c r="I28" s="112" t="s">
        <v>52</v>
      </c>
    </row>
    <row r="29" spans="1:10" x14ac:dyDescent="0.35">
      <c r="B29" s="113" t="s">
        <v>722</v>
      </c>
      <c r="C29" s="118" t="str">
        <f>C24</f>
        <v/>
      </c>
      <c r="D29" s="118" t="str">
        <f t="shared" ref="D29:I29" si="2">D24</f>
        <v/>
      </c>
      <c r="E29" s="118" t="str">
        <f t="shared" si="2"/>
        <v/>
      </c>
      <c r="F29" s="118" t="str">
        <f t="shared" si="2"/>
        <v/>
      </c>
      <c r="G29" s="118" t="str">
        <f t="shared" si="2"/>
        <v/>
      </c>
      <c r="H29" s="118" t="str">
        <f t="shared" si="2"/>
        <v/>
      </c>
      <c r="I29" s="118" t="str">
        <f t="shared" si="2"/>
        <v/>
      </c>
    </row>
    <row r="30" spans="1:10" x14ac:dyDescent="0.35">
      <c r="B30" s="113" t="s">
        <v>72</v>
      </c>
      <c r="C30" s="119" t="str">
        <f>IF(Exploitation!C41="Standard",2,IF(Exploitation!C41="Multiphase (dont biphase)",3,""))</f>
        <v/>
      </c>
      <c r="D30" s="119">
        <f>IF(Exploitation!D41="Standard",2,IF(Exploitation!D41="Multiphase (dont biphase)",3,0))</f>
        <v>0</v>
      </c>
      <c r="E30" s="119">
        <f>IF(Exploitation!E41="Standard",2,IF(Exploitation!E41="Multiphase (dont biphase)",3,0))</f>
        <v>0</v>
      </c>
      <c r="F30" s="119" t="str">
        <f>IF(Exploitation!F41="Standard",2,IF(Exploitation!F41="Multiphase (dont biphase)",3,""))</f>
        <v/>
      </c>
      <c r="G30" s="119" t="str">
        <f>IF(Exploitation!G41="Standard",2,IF(Exploitation!G41="Multiphase (dont biphase)",3,""))</f>
        <v/>
      </c>
      <c r="H30" s="119" t="str">
        <f>IF(Exploitation!H41="Standard",2,IF(Exploitation!H41="Multiphase (dont biphase)",3,""))</f>
        <v/>
      </c>
      <c r="I30" s="119" t="str">
        <f>IF(Exploitation!I41="Standard",2,IF(Exploitation!I41="Multiphase (dont biphase)",3,""))</f>
        <v/>
      </c>
    </row>
    <row r="31" spans="1:10" ht="29" x14ac:dyDescent="0.35">
      <c r="B31" s="120" t="s">
        <v>166</v>
      </c>
      <c r="C31" s="121">
        <v>0</v>
      </c>
      <c r="D31" s="122">
        <f>IF($C$11="naisseur_engraisseur",2,4)</f>
        <v>4</v>
      </c>
      <c r="E31" s="122">
        <f>IF($C$11="naisseur_engraisseur",2,4)</f>
        <v>4</v>
      </c>
      <c r="F31" s="121">
        <v>0</v>
      </c>
      <c r="G31" s="121">
        <v>0</v>
      </c>
      <c r="H31" s="121">
        <v>0</v>
      </c>
      <c r="I31" s="121">
        <v>0</v>
      </c>
    </row>
    <row r="32" spans="1:10" x14ac:dyDescent="0.35">
      <c r="B32" s="123" t="s">
        <v>724</v>
      </c>
      <c r="C32" s="40" t="str">
        <f>IF(C29=0,"",IF(ISERROR(VLOOKUP(C28,fex,C30+C31,FALSE)),"",VLOOKUP(C28,fex,C30+C31,FALSE)))</f>
        <v/>
      </c>
      <c r="D32" s="40" t="str">
        <f>IF(D30=0,"",IF(ISERROR(VLOOKUP(D28,fex,D30+D31,FALSE)),"",VLOOKUP(D28,fex,D30+D31,FALSE)))</f>
        <v/>
      </c>
      <c r="E32" s="40" t="str">
        <f>IF(E30=0,"",IF(ISERROR(VLOOKUP(E28,fex,E30+E31,FALSE)),"",VLOOKUP(E28,fex,E30+E31,FALSE)))</f>
        <v/>
      </c>
      <c r="F32" s="40" t="str">
        <f>IF(F29=0,"",IF(ISERROR(VLOOKUP(F28,fex,F30+F31,FALSE)),"",VLOOKUP(F28,fex,F30+F31,FALSE)))</f>
        <v/>
      </c>
      <c r="G32" s="40" t="str">
        <f t="shared" ref="G32:I32" si="3">IF(G29=0,"",IF(ISERROR(VLOOKUP(G28,fex,G30+G31,FALSE)),"",VLOOKUP(G28,fex,G30+G31,FALSE)))</f>
        <v/>
      </c>
      <c r="H32" s="40" t="str">
        <f t="shared" si="3"/>
        <v/>
      </c>
      <c r="I32" s="40" t="str">
        <f t="shared" si="3"/>
        <v/>
      </c>
    </row>
    <row r="33" spans="1:28" x14ac:dyDescent="0.35">
      <c r="B33" s="123" t="s">
        <v>705</v>
      </c>
      <c r="C33" s="124" t="str">
        <f>IF(Exploitation!C44="","",Exploitation!C44)</f>
        <v/>
      </c>
      <c r="D33" s="124" t="str">
        <f>IF(Exploitation!D44="","",Exploitation!D44)</f>
        <v/>
      </c>
      <c r="E33" s="124" t="str">
        <f>IF(Exploitation!E44="","",Exploitation!E44)</f>
        <v/>
      </c>
      <c r="F33" s="124" t="str">
        <f>IF(Exploitation!F44="","",Exploitation!F44)</f>
        <v/>
      </c>
      <c r="G33" s="124" t="str">
        <f>IF(Exploitation!G44="","",Exploitation!G44)</f>
        <v/>
      </c>
      <c r="H33" s="124" t="str">
        <f>IF(Exploitation!H44="","",Exploitation!H44)</f>
        <v/>
      </c>
      <c r="I33" s="124" t="str">
        <f>IF(Exploitation!I44="","",Exploitation!I44)</f>
        <v/>
      </c>
    </row>
    <row r="34" spans="1:28" x14ac:dyDescent="0.35">
      <c r="B34" s="123" t="s">
        <v>706</v>
      </c>
      <c r="C34" s="125" t="str">
        <f>IF(C33&lt;&gt;"",C33,C32)</f>
        <v/>
      </c>
      <c r="D34" s="125" t="str">
        <f t="shared" ref="D34:I34" si="4">IF(D33&lt;&gt;"",D33,D32)</f>
        <v/>
      </c>
      <c r="E34" s="125" t="str">
        <f>IF(E33&lt;&gt;"",E33,E32)</f>
        <v/>
      </c>
      <c r="F34" s="125" t="str">
        <f t="shared" si="4"/>
        <v/>
      </c>
      <c r="G34" s="125" t="str">
        <f t="shared" si="4"/>
        <v/>
      </c>
      <c r="H34" s="125" t="str">
        <f t="shared" si="4"/>
        <v/>
      </c>
      <c r="I34" s="125" t="str">
        <f t="shared" si="4"/>
        <v/>
      </c>
    </row>
    <row r="35" spans="1:28" x14ac:dyDescent="0.35">
      <c r="B35" s="123" t="s">
        <v>713</v>
      </c>
      <c r="C35" s="125" t="str">
        <f>IF(ISERROR((C24*C32)/C18),"",(C24*C32)/C18)</f>
        <v/>
      </c>
      <c r="D35" s="125" t="str">
        <f t="shared" ref="D35:I35" si="5">IF(ISERROR((D24*D32)/D18),"",(D24*D32)/D18)</f>
        <v/>
      </c>
      <c r="E35" s="125" t="str">
        <f t="shared" si="5"/>
        <v/>
      </c>
      <c r="F35" s="125" t="str">
        <f t="shared" si="5"/>
        <v/>
      </c>
      <c r="G35" s="125" t="str">
        <f t="shared" si="5"/>
        <v/>
      </c>
      <c r="H35" s="125" t="str">
        <f t="shared" si="5"/>
        <v/>
      </c>
      <c r="I35" s="125" t="str">
        <f t="shared" si="5"/>
        <v/>
      </c>
    </row>
    <row r="36" spans="1:28" x14ac:dyDescent="0.35">
      <c r="B36" s="123" t="s">
        <v>719</v>
      </c>
      <c r="C36" s="117">
        <f>IF(ISERROR(IF(C33="",0,C33)),0,IF(C33="",0,C33))</f>
        <v>0</v>
      </c>
      <c r="D36" s="117">
        <f t="shared" ref="D36:I36" si="6">IF(ISERROR(IF(D33="",0,D33)),0,IF(D33="",0,D33))</f>
        <v>0</v>
      </c>
      <c r="E36" s="117">
        <f t="shared" si="6"/>
        <v>0</v>
      </c>
      <c r="F36" s="117">
        <f t="shared" si="6"/>
        <v>0</v>
      </c>
      <c r="G36" s="117">
        <f t="shared" si="6"/>
        <v>0</v>
      </c>
      <c r="H36" s="117">
        <f t="shared" si="6"/>
        <v>0</v>
      </c>
      <c r="I36" s="117">
        <f t="shared" si="6"/>
        <v>0</v>
      </c>
    </row>
    <row r="37" spans="1:28" x14ac:dyDescent="0.35">
      <c r="B37" s="123" t="s">
        <v>720</v>
      </c>
      <c r="C37" s="117">
        <f>IF(ISERROR(IF(C36=0,C35*C18,C36*C18)),0,IF(C36=0,C35*C18,C36*C18))</f>
        <v>0</v>
      </c>
      <c r="D37" s="117">
        <f t="shared" ref="D37:I37" si="7">IF(ISERROR(IF(D36=0,D35*D18,D36*D18)),0,IF(D36=0,D35*D18,D36*D18))</f>
        <v>0</v>
      </c>
      <c r="E37" s="117">
        <f t="shared" si="7"/>
        <v>0</v>
      </c>
      <c r="F37" s="117">
        <f t="shared" si="7"/>
        <v>0</v>
      </c>
      <c r="G37" s="117">
        <f t="shared" si="7"/>
        <v>0</v>
      </c>
      <c r="H37" s="117">
        <f t="shared" si="7"/>
        <v>0</v>
      </c>
      <c r="I37" s="117">
        <f t="shared" si="7"/>
        <v>0</v>
      </c>
    </row>
    <row r="38" spans="1:28" x14ac:dyDescent="0.35">
      <c r="B38" s="123" t="s">
        <v>68</v>
      </c>
      <c r="C38" s="126">
        <v>0.7</v>
      </c>
      <c r="D38" s="126">
        <v>0.7</v>
      </c>
      <c r="E38" s="126">
        <v>0.7</v>
      </c>
      <c r="F38" s="126">
        <v>0.7</v>
      </c>
      <c r="G38" s="126">
        <v>0.7</v>
      </c>
      <c r="H38" s="126">
        <v>0.7</v>
      </c>
      <c r="I38" s="126">
        <v>0.7</v>
      </c>
    </row>
    <row r="39" spans="1:28" x14ac:dyDescent="0.35">
      <c r="B39" s="123" t="s">
        <v>169</v>
      </c>
      <c r="C39" s="117">
        <f>IF(ISERROR(C37*C38),"",C37*C38)</f>
        <v>0</v>
      </c>
      <c r="D39" s="117">
        <f t="shared" ref="D39:I39" si="8">IF(ISERROR(D37*D38),"",D37*D38)</f>
        <v>0</v>
      </c>
      <c r="E39" s="117">
        <f t="shared" si="8"/>
        <v>0</v>
      </c>
      <c r="F39" s="117">
        <f t="shared" si="8"/>
        <v>0</v>
      </c>
      <c r="G39" s="117">
        <f t="shared" si="8"/>
        <v>0</v>
      </c>
      <c r="H39" s="117">
        <f t="shared" si="8"/>
        <v>0</v>
      </c>
      <c r="I39" s="117">
        <f t="shared" si="8"/>
        <v>0</v>
      </c>
    </row>
    <row r="40" spans="1:28" x14ac:dyDescent="0.35">
      <c r="B40" s="387" t="s">
        <v>772</v>
      </c>
      <c r="C40" s="117">
        <f>IF(ISERROR(C35*C18*C38),0,C35*C18*C38)</f>
        <v>0</v>
      </c>
      <c r="D40" s="117">
        <f t="shared" ref="D40:I40" si="9">IF(ISERROR(D35*D18*D38),0,D35*D18*D38)</f>
        <v>0</v>
      </c>
      <c r="E40" s="117">
        <f t="shared" si="9"/>
        <v>0</v>
      </c>
      <c r="F40" s="117">
        <f t="shared" si="9"/>
        <v>0</v>
      </c>
      <c r="G40" s="117">
        <f t="shared" si="9"/>
        <v>0</v>
      </c>
      <c r="H40" s="117">
        <f t="shared" si="9"/>
        <v>0</v>
      </c>
      <c r="I40" s="117">
        <f t="shared" si="9"/>
        <v>0</v>
      </c>
    </row>
    <row r="41" spans="1:28" x14ac:dyDescent="0.35">
      <c r="B41" s="387" t="s">
        <v>774</v>
      </c>
      <c r="C41" s="117">
        <f>IF(ISERROR(C18*C35),0,C18*C35)</f>
        <v>0</v>
      </c>
      <c r="D41" s="117">
        <f t="shared" ref="D41:I41" si="10">IF(ISERROR(D18*D35),0,D18*D35)</f>
        <v>0</v>
      </c>
      <c r="E41" s="117">
        <f t="shared" si="10"/>
        <v>0</v>
      </c>
      <c r="F41" s="117">
        <f t="shared" si="10"/>
        <v>0</v>
      </c>
      <c r="G41" s="117">
        <f t="shared" si="10"/>
        <v>0</v>
      </c>
      <c r="H41" s="117">
        <f t="shared" si="10"/>
        <v>0</v>
      </c>
      <c r="I41" s="117">
        <f t="shared" si="10"/>
        <v>0</v>
      </c>
    </row>
    <row r="42" spans="1:28" x14ac:dyDescent="0.35">
      <c r="B42" s="1" t="s">
        <v>782</v>
      </c>
      <c r="C42" s="390"/>
      <c r="D42" s="391">
        <f>Exploitation!D42</f>
        <v>0</v>
      </c>
      <c r="E42" s="390"/>
      <c r="F42" s="390"/>
      <c r="G42" s="390"/>
      <c r="H42" s="390"/>
      <c r="I42" s="390"/>
    </row>
    <row r="43" spans="1:28" x14ac:dyDescent="0.35">
      <c r="B43" s="1" t="s">
        <v>783</v>
      </c>
      <c r="C43" s="390"/>
      <c r="D43" s="391">
        <f>IF(ISERROR(VLOOKUP(D42,'Données d''entrée'!$B$312:$C$313,2,FALSE)),1,VLOOKUP(D42,'Données d''entrée'!$B$312:$C$313,2,FALSE))</f>
        <v>1</v>
      </c>
      <c r="E43" s="390"/>
      <c r="F43" s="390"/>
      <c r="G43" s="390"/>
      <c r="H43" s="390"/>
      <c r="I43" s="390"/>
    </row>
    <row r="45" spans="1:28" x14ac:dyDescent="0.35">
      <c r="B45" s="127" t="s">
        <v>170</v>
      </c>
    </row>
    <row r="46" spans="1:28" x14ac:dyDescent="0.35">
      <c r="J46" s="51" t="s">
        <v>643</v>
      </c>
    </row>
    <row r="47" spans="1:28" ht="29" x14ac:dyDescent="0.35">
      <c r="C47" s="128" t="s">
        <v>46</v>
      </c>
      <c r="D47" s="112" t="s">
        <v>47</v>
      </c>
      <c r="E47" s="128" t="s">
        <v>51</v>
      </c>
      <c r="F47" s="128" t="s">
        <v>124</v>
      </c>
      <c r="G47" s="128" t="s">
        <v>49</v>
      </c>
      <c r="H47" s="128" t="s">
        <v>48</v>
      </c>
      <c r="I47" s="128" t="s">
        <v>52</v>
      </c>
      <c r="J47" s="112" t="s">
        <v>46</v>
      </c>
      <c r="K47" s="112" t="s">
        <v>47</v>
      </c>
      <c r="L47" s="112" t="s">
        <v>51</v>
      </c>
      <c r="M47" s="112" t="s">
        <v>124</v>
      </c>
      <c r="N47" s="112" t="s">
        <v>49</v>
      </c>
      <c r="O47" s="112" t="s">
        <v>48</v>
      </c>
      <c r="P47" s="112" t="s">
        <v>52</v>
      </c>
      <c r="Q47" s="112" t="s">
        <v>644</v>
      </c>
      <c r="V47" s="129"/>
      <c r="W47" s="129"/>
      <c r="AB47" s="129"/>
    </row>
    <row r="48" spans="1:28" x14ac:dyDescent="0.35">
      <c r="A48" s="130">
        <v>1</v>
      </c>
      <c r="B48" s="131" t="str">
        <f>IF(Exploitation!B15="","",Exploitation!B15)</f>
        <v/>
      </c>
      <c r="C48" s="41">
        <f>IF(C$18="",0,IF(Exploitation!C15="",0,Exploitation!C15/C$18))</f>
        <v>0</v>
      </c>
      <c r="D48" s="41">
        <f>IF(D$18="",0,IF(Exploitation!D15="",0,Exploitation!D15/D$18))</f>
        <v>0</v>
      </c>
      <c r="E48" s="41">
        <f>IF(E$18="",0,IF(Exploitation!E15="",0,Exploitation!E15/E$18))</f>
        <v>0</v>
      </c>
      <c r="F48" s="41">
        <f>IF(F$18="",0,IF(Exploitation!F15="",0,Exploitation!F15/F$18))</f>
        <v>0</v>
      </c>
      <c r="G48" s="41">
        <f>IF(G$18="",0,IF(Exploitation!G15="",0,Exploitation!G15/G$18))</f>
        <v>0</v>
      </c>
      <c r="H48" s="41">
        <f>IF(H$18="",0,IF(Exploitation!H15="",0,Exploitation!H15/H$18))</f>
        <v>0</v>
      </c>
      <c r="I48" s="41">
        <f>IF(I$18="",0,IF(Exploitation!I15="",0,Exploitation!I15/I$18))</f>
        <v>0</v>
      </c>
      <c r="J48" s="117">
        <f>IF(ISERROR(C48*C$22),"",C48*C$22)</f>
        <v>0</v>
      </c>
      <c r="K48" s="117">
        <f t="shared" ref="K48:P63" si="11">IF(ISERROR(D48*D$22),"",D48*D$22)</f>
        <v>0</v>
      </c>
      <c r="L48" s="117">
        <f t="shared" si="11"/>
        <v>0</v>
      </c>
      <c r="M48" s="117">
        <f t="shared" si="11"/>
        <v>0</v>
      </c>
      <c r="N48" s="117">
        <f t="shared" si="11"/>
        <v>0</v>
      </c>
      <c r="O48" s="117">
        <f t="shared" si="11"/>
        <v>0</v>
      </c>
      <c r="P48" s="117">
        <f t="shared" si="11"/>
        <v>0</v>
      </c>
      <c r="Q48" s="117">
        <f>SUM(J48:P48)</f>
        <v>0</v>
      </c>
    </row>
    <row r="49" spans="1:28" x14ac:dyDescent="0.35">
      <c r="A49" s="130">
        <v>2</v>
      </c>
      <c r="B49" s="131" t="str">
        <f>IF(Exploitation!B16="","",Exploitation!B16)</f>
        <v/>
      </c>
      <c r="C49" s="41">
        <f>IF(C$18="",0,IF(Exploitation!C16="",0,Exploitation!C16/C$18))</f>
        <v>0</v>
      </c>
      <c r="D49" s="41">
        <f>IF(D$18="",0,IF(Exploitation!D16="",0,Exploitation!D16/D$18))</f>
        <v>0</v>
      </c>
      <c r="E49" s="41">
        <f>IF(E$18="",0,IF(Exploitation!E16="",0,Exploitation!E16/E$18))</f>
        <v>0</v>
      </c>
      <c r="F49" s="41">
        <f>IF(F$18="",0,IF(Exploitation!F16="",0,Exploitation!F16/F$18))</f>
        <v>0</v>
      </c>
      <c r="G49" s="41">
        <f>IF(G$18="",0,IF(Exploitation!G16="",0,Exploitation!G16/G$18))</f>
        <v>0</v>
      </c>
      <c r="H49" s="41">
        <f>IF(H$18="",0,IF(Exploitation!H16="",0,Exploitation!H16/H$18))</f>
        <v>0</v>
      </c>
      <c r="I49" s="41">
        <f>IF(I$18="",0,IF(Exploitation!I16="",0,Exploitation!I16/I$18))</f>
        <v>0</v>
      </c>
      <c r="J49" s="117">
        <f t="shared" ref="J49:J67" si="12">IF(ISERROR(C49*C$22),"",C49*C$22)</f>
        <v>0</v>
      </c>
      <c r="K49" s="117">
        <f t="shared" si="11"/>
        <v>0</v>
      </c>
      <c r="L49" s="117">
        <f t="shared" si="11"/>
        <v>0</v>
      </c>
      <c r="M49" s="117">
        <f t="shared" si="11"/>
        <v>0</v>
      </c>
      <c r="N49" s="117">
        <f t="shared" si="11"/>
        <v>0</v>
      </c>
      <c r="O49" s="117">
        <f t="shared" si="11"/>
        <v>0</v>
      </c>
      <c r="P49" s="117">
        <f t="shared" si="11"/>
        <v>0</v>
      </c>
      <c r="Q49" s="117">
        <f t="shared" ref="Q49:Q55" si="13">SUM(J49:P49)</f>
        <v>0</v>
      </c>
      <c r="AB49" s="129"/>
    </row>
    <row r="50" spans="1:28" x14ac:dyDescent="0.35">
      <c r="A50" s="130">
        <v>3</v>
      </c>
      <c r="B50" s="131" t="str">
        <f>IF(Exploitation!B17="","",Exploitation!B17)</f>
        <v/>
      </c>
      <c r="C50" s="41">
        <f>IF(C$18="",0,IF(Exploitation!C17="",0,Exploitation!C17/C$18))</f>
        <v>0</v>
      </c>
      <c r="D50" s="41">
        <f>IF(D$18="",0,IF(Exploitation!D17="",0,Exploitation!D17/D$18))</f>
        <v>0</v>
      </c>
      <c r="E50" s="41">
        <f>IF(E$18="",0,IF(Exploitation!E17="",0,Exploitation!E17/E$18))</f>
        <v>0</v>
      </c>
      <c r="F50" s="41">
        <f>IF(F$18="",0,IF(Exploitation!F17="",0,Exploitation!F17/F$18))</f>
        <v>0</v>
      </c>
      <c r="G50" s="41">
        <f>IF(G$18="",0,IF(Exploitation!G17="",0,Exploitation!G17/G$18))</f>
        <v>0</v>
      </c>
      <c r="H50" s="41">
        <f>IF(H$18="",0,IF(Exploitation!H17="",0,Exploitation!H17/H$18))</f>
        <v>0</v>
      </c>
      <c r="I50" s="41">
        <f>IF(I$18="",0,IF(Exploitation!I17="",0,Exploitation!I17/I$18))</f>
        <v>0</v>
      </c>
      <c r="J50" s="117">
        <f t="shared" si="12"/>
        <v>0</v>
      </c>
      <c r="K50" s="117">
        <f t="shared" si="11"/>
        <v>0</v>
      </c>
      <c r="L50" s="117">
        <f t="shared" si="11"/>
        <v>0</v>
      </c>
      <c r="M50" s="117">
        <f t="shared" si="11"/>
        <v>0</v>
      </c>
      <c r="N50" s="117">
        <f t="shared" si="11"/>
        <v>0</v>
      </c>
      <c r="O50" s="117">
        <f t="shared" si="11"/>
        <v>0</v>
      </c>
      <c r="P50" s="117">
        <f t="shared" si="11"/>
        <v>0</v>
      </c>
      <c r="Q50" s="117">
        <f t="shared" si="13"/>
        <v>0</v>
      </c>
    </row>
    <row r="51" spans="1:28" x14ac:dyDescent="0.35">
      <c r="A51" s="130">
        <v>4</v>
      </c>
      <c r="B51" s="131" t="str">
        <f>IF(Exploitation!B18="","",Exploitation!B18)</f>
        <v/>
      </c>
      <c r="C51" s="41">
        <f>IF(C$18="",0,IF(Exploitation!C18="",0,Exploitation!C18/C$18))</f>
        <v>0</v>
      </c>
      <c r="D51" s="41">
        <f>IF(D$18="",0,IF(Exploitation!D18="",0,Exploitation!D18/D$18))</f>
        <v>0</v>
      </c>
      <c r="E51" s="41">
        <f>IF(E$18="",0,IF(Exploitation!E18="",0,Exploitation!E18/E$18))</f>
        <v>0</v>
      </c>
      <c r="F51" s="41">
        <f>IF(F$18="",0,IF(Exploitation!F18="",0,Exploitation!F18/F$18))</f>
        <v>0</v>
      </c>
      <c r="G51" s="41">
        <f>IF(G$18="",0,IF(Exploitation!G18="",0,Exploitation!G18/G$18))</f>
        <v>0</v>
      </c>
      <c r="H51" s="41">
        <f>IF(H$18="",0,IF(Exploitation!H18="",0,Exploitation!H18/H$18))</f>
        <v>0</v>
      </c>
      <c r="I51" s="41">
        <f>IF(I$18="",0,IF(Exploitation!I18="",0,Exploitation!I18/I$18))</f>
        <v>0</v>
      </c>
      <c r="J51" s="117">
        <f t="shared" si="12"/>
        <v>0</v>
      </c>
      <c r="K51" s="117">
        <f t="shared" si="11"/>
        <v>0</v>
      </c>
      <c r="L51" s="117">
        <f t="shared" si="11"/>
        <v>0</v>
      </c>
      <c r="M51" s="117">
        <f t="shared" si="11"/>
        <v>0</v>
      </c>
      <c r="N51" s="117">
        <f t="shared" si="11"/>
        <v>0</v>
      </c>
      <c r="O51" s="117">
        <f t="shared" si="11"/>
        <v>0</v>
      </c>
      <c r="P51" s="117">
        <f t="shared" si="11"/>
        <v>0</v>
      </c>
      <c r="Q51" s="117">
        <f t="shared" si="13"/>
        <v>0</v>
      </c>
    </row>
    <row r="52" spans="1:28" x14ac:dyDescent="0.35">
      <c r="A52" s="130">
        <v>5</v>
      </c>
      <c r="B52" s="131" t="str">
        <f>IF(Exploitation!B19="","",Exploitation!B19)</f>
        <v/>
      </c>
      <c r="C52" s="41">
        <f>IF(C$18="",0,IF(Exploitation!C19="",0,Exploitation!C19/C$18))</f>
        <v>0</v>
      </c>
      <c r="D52" s="41">
        <f>IF(D$18="",0,IF(Exploitation!D19="",0,Exploitation!D19/D$18))</f>
        <v>0</v>
      </c>
      <c r="E52" s="41">
        <f>IF(E$18="",0,IF(Exploitation!E19="",0,Exploitation!E19/E$18))</f>
        <v>0</v>
      </c>
      <c r="F52" s="41">
        <f>IF(F$18="",0,IF(Exploitation!F19="",0,Exploitation!F19/F$18))</f>
        <v>0</v>
      </c>
      <c r="G52" s="41">
        <f>IF(G$18="",0,IF(Exploitation!G19="",0,Exploitation!G19/G$18))</f>
        <v>0</v>
      </c>
      <c r="H52" s="41">
        <f>IF(H$18="",0,IF(Exploitation!H19="",0,Exploitation!H19/H$18))</f>
        <v>0</v>
      </c>
      <c r="I52" s="41">
        <f>IF(I$18="",0,IF(Exploitation!I19="",0,Exploitation!I19/I$18))</f>
        <v>0</v>
      </c>
      <c r="J52" s="117">
        <f t="shared" si="12"/>
        <v>0</v>
      </c>
      <c r="K52" s="117">
        <f t="shared" si="11"/>
        <v>0</v>
      </c>
      <c r="L52" s="117">
        <f t="shared" si="11"/>
        <v>0</v>
      </c>
      <c r="M52" s="117">
        <f t="shared" si="11"/>
        <v>0</v>
      </c>
      <c r="N52" s="117">
        <f t="shared" si="11"/>
        <v>0</v>
      </c>
      <c r="O52" s="117">
        <f t="shared" si="11"/>
        <v>0</v>
      </c>
      <c r="P52" s="117">
        <f t="shared" si="11"/>
        <v>0</v>
      </c>
      <c r="Q52" s="117">
        <f t="shared" si="13"/>
        <v>0</v>
      </c>
      <c r="AB52" s="129"/>
    </row>
    <row r="53" spans="1:28" x14ac:dyDescent="0.35">
      <c r="A53" s="130">
        <v>6</v>
      </c>
      <c r="B53" s="131" t="str">
        <f>IF(Exploitation!B20="","",Exploitation!B20)</f>
        <v/>
      </c>
      <c r="C53" s="41">
        <f>IF(C$18="",0,IF(Exploitation!C20="",0,Exploitation!C20/C$18))</f>
        <v>0</v>
      </c>
      <c r="D53" s="41">
        <f>IF(D$18="",0,IF(Exploitation!D20="",0,Exploitation!D20/D$18))</f>
        <v>0</v>
      </c>
      <c r="E53" s="41">
        <f>IF(E$18="",0,IF(Exploitation!E20="",0,Exploitation!E20/E$18))</f>
        <v>0</v>
      </c>
      <c r="F53" s="41">
        <f>IF(F$18="",0,IF(Exploitation!F20="",0,Exploitation!F20/F$18))</f>
        <v>0</v>
      </c>
      <c r="G53" s="41">
        <f>IF(G$18="",0,IF(Exploitation!G20="",0,Exploitation!G20/G$18))</f>
        <v>0</v>
      </c>
      <c r="H53" s="41">
        <f>IF(H$18="",0,IF(Exploitation!H20="",0,Exploitation!H20/H$18))</f>
        <v>0</v>
      </c>
      <c r="I53" s="41">
        <f>IF(I$18="",0,IF(Exploitation!I20="",0,Exploitation!I20/I$18))</f>
        <v>0</v>
      </c>
      <c r="J53" s="117">
        <f t="shared" si="12"/>
        <v>0</v>
      </c>
      <c r="K53" s="117">
        <f t="shared" si="11"/>
        <v>0</v>
      </c>
      <c r="L53" s="117">
        <f t="shared" si="11"/>
        <v>0</v>
      </c>
      <c r="M53" s="117">
        <f t="shared" si="11"/>
        <v>0</v>
      </c>
      <c r="N53" s="117">
        <f t="shared" si="11"/>
        <v>0</v>
      </c>
      <c r="O53" s="117">
        <f t="shared" si="11"/>
        <v>0</v>
      </c>
      <c r="P53" s="117">
        <f t="shared" si="11"/>
        <v>0</v>
      </c>
      <c r="Q53" s="117">
        <f t="shared" si="13"/>
        <v>0</v>
      </c>
    </row>
    <row r="54" spans="1:28" x14ac:dyDescent="0.35">
      <c r="A54" s="130">
        <v>7</v>
      </c>
      <c r="B54" s="131" t="str">
        <f>IF(Exploitation!B21="","",Exploitation!B21)</f>
        <v/>
      </c>
      <c r="C54" s="41">
        <f>IF(C$18="",0,IF(Exploitation!C21="",0,Exploitation!C21/C$18))</f>
        <v>0</v>
      </c>
      <c r="D54" s="41">
        <f>IF(D$18="",0,IF(Exploitation!D21="",0,Exploitation!D21/D$18))</f>
        <v>0</v>
      </c>
      <c r="E54" s="41">
        <f>IF(E$18="",0,IF(Exploitation!E21="",0,Exploitation!E21/E$18))</f>
        <v>0</v>
      </c>
      <c r="F54" s="41">
        <f>IF(F$18="",0,IF(Exploitation!F21="",0,Exploitation!F21/F$18))</f>
        <v>0</v>
      </c>
      <c r="G54" s="41">
        <f>IF(G$18="",0,IF(Exploitation!G21="",0,Exploitation!G21/G$18))</f>
        <v>0</v>
      </c>
      <c r="H54" s="41">
        <f>IF(H$18="",0,IF(Exploitation!H21="",0,Exploitation!H21/H$18))</f>
        <v>0</v>
      </c>
      <c r="I54" s="41">
        <f>IF(I$18="",0,IF(Exploitation!I21="",0,Exploitation!I21/I$18))</f>
        <v>0</v>
      </c>
      <c r="J54" s="117">
        <f t="shared" si="12"/>
        <v>0</v>
      </c>
      <c r="K54" s="117">
        <f t="shared" si="11"/>
        <v>0</v>
      </c>
      <c r="L54" s="117">
        <f t="shared" si="11"/>
        <v>0</v>
      </c>
      <c r="M54" s="117">
        <f t="shared" si="11"/>
        <v>0</v>
      </c>
      <c r="N54" s="117">
        <f t="shared" si="11"/>
        <v>0</v>
      </c>
      <c r="O54" s="117">
        <f t="shared" si="11"/>
        <v>0</v>
      </c>
      <c r="P54" s="117">
        <f t="shared" si="11"/>
        <v>0</v>
      </c>
      <c r="Q54" s="117">
        <f t="shared" si="13"/>
        <v>0</v>
      </c>
      <c r="AB54" s="129"/>
    </row>
    <row r="55" spans="1:28" x14ac:dyDescent="0.35">
      <c r="A55" s="130">
        <v>8</v>
      </c>
      <c r="B55" s="131" t="str">
        <f>IF(Exploitation!B22="","",Exploitation!B22)</f>
        <v/>
      </c>
      <c r="C55" s="41">
        <f>IF(C$18="",0,IF(Exploitation!C22="",0,Exploitation!C22/C$18))</f>
        <v>0</v>
      </c>
      <c r="D55" s="41">
        <f>IF(D$18="",0,IF(Exploitation!D22="",0,Exploitation!D22/D$18))</f>
        <v>0</v>
      </c>
      <c r="E55" s="41">
        <f>IF(E$18="",0,IF(Exploitation!E22="",0,Exploitation!E22/E$18))</f>
        <v>0</v>
      </c>
      <c r="F55" s="41">
        <f>IF(F$18="",0,IF(Exploitation!F22="",0,Exploitation!F22/F$18))</f>
        <v>0</v>
      </c>
      <c r="G55" s="41">
        <f>IF(G$18="",0,IF(Exploitation!G22="",0,Exploitation!G22/G$18))</f>
        <v>0</v>
      </c>
      <c r="H55" s="41">
        <f>IF(H$18="",0,IF(Exploitation!H22="",0,Exploitation!H22/H$18))</f>
        <v>0</v>
      </c>
      <c r="I55" s="41">
        <f>IF(I$18="",0,IF(Exploitation!I22="",0,Exploitation!I22/I$18))</f>
        <v>0</v>
      </c>
      <c r="J55" s="117">
        <f t="shared" si="12"/>
        <v>0</v>
      </c>
      <c r="K55" s="117">
        <f t="shared" si="11"/>
        <v>0</v>
      </c>
      <c r="L55" s="117">
        <f t="shared" si="11"/>
        <v>0</v>
      </c>
      <c r="M55" s="117">
        <f t="shared" si="11"/>
        <v>0</v>
      </c>
      <c r="N55" s="117">
        <f t="shared" si="11"/>
        <v>0</v>
      </c>
      <c r="O55" s="117">
        <f t="shared" si="11"/>
        <v>0</v>
      </c>
      <c r="P55" s="117">
        <f t="shared" si="11"/>
        <v>0</v>
      </c>
      <c r="Q55" s="117">
        <f t="shared" si="13"/>
        <v>0</v>
      </c>
    </row>
    <row r="56" spans="1:28" x14ac:dyDescent="0.35">
      <c r="A56" s="130">
        <v>9</v>
      </c>
      <c r="B56" s="131" t="str">
        <f>IF(Exploitation!B23="","",Exploitation!B23)</f>
        <v/>
      </c>
      <c r="C56" s="41">
        <f>IF(C$18="",0,IF(Exploitation!C23="",0,Exploitation!C23/C$18))</f>
        <v>0</v>
      </c>
      <c r="D56" s="41">
        <f>IF(D$18="",0,IF(Exploitation!D23="",0,Exploitation!D23/D$18))</f>
        <v>0</v>
      </c>
      <c r="E56" s="41">
        <f>IF(E$18="",0,IF(Exploitation!E23="",0,Exploitation!E23/E$18))</f>
        <v>0</v>
      </c>
      <c r="F56" s="41">
        <f>IF(F$18="",0,IF(Exploitation!F23="",0,Exploitation!F23/F$18))</f>
        <v>0</v>
      </c>
      <c r="G56" s="41">
        <f>IF(G$18="",0,IF(Exploitation!G23="",0,Exploitation!G23/G$18))</f>
        <v>0</v>
      </c>
      <c r="H56" s="41">
        <f>IF(H$18="",0,IF(Exploitation!H23="",0,Exploitation!H23/H$18))</f>
        <v>0</v>
      </c>
      <c r="I56" s="41">
        <f>IF(I$18="",0,IF(Exploitation!I23="",0,Exploitation!I23/I$18))</f>
        <v>0</v>
      </c>
      <c r="J56" s="117">
        <f t="shared" si="12"/>
        <v>0</v>
      </c>
      <c r="K56" s="117">
        <f t="shared" si="11"/>
        <v>0</v>
      </c>
      <c r="L56" s="117">
        <f t="shared" si="11"/>
        <v>0</v>
      </c>
      <c r="M56" s="117">
        <f t="shared" si="11"/>
        <v>0</v>
      </c>
      <c r="N56" s="117">
        <f t="shared" si="11"/>
        <v>0</v>
      </c>
      <c r="O56" s="117">
        <f t="shared" si="11"/>
        <v>0</v>
      </c>
      <c r="P56" s="117">
        <f t="shared" si="11"/>
        <v>0</v>
      </c>
      <c r="Q56" s="117">
        <f t="shared" ref="Q56:Q62" si="14">SUM(J56:P56)</f>
        <v>0</v>
      </c>
    </row>
    <row r="57" spans="1:28" x14ac:dyDescent="0.35">
      <c r="A57" s="130">
        <v>10</v>
      </c>
      <c r="B57" s="131" t="str">
        <f>IF(Exploitation!B24="","",Exploitation!B24)</f>
        <v/>
      </c>
      <c r="C57" s="41">
        <f>IF(C$18="",0,IF(Exploitation!C24="",0,Exploitation!C24/C$18))</f>
        <v>0</v>
      </c>
      <c r="D57" s="41">
        <f>IF(D$18="",0,IF(Exploitation!D24="",0,Exploitation!D24/D$18))</f>
        <v>0</v>
      </c>
      <c r="E57" s="41">
        <f>IF(E$18="",0,IF(Exploitation!E24="",0,Exploitation!E24/E$18))</f>
        <v>0</v>
      </c>
      <c r="F57" s="41">
        <f>IF(F$18="",0,IF(Exploitation!F24="",0,Exploitation!F24/F$18))</f>
        <v>0</v>
      </c>
      <c r="G57" s="41">
        <f>IF(G$18="",0,IF(Exploitation!G24="",0,Exploitation!G24/G$18))</f>
        <v>0</v>
      </c>
      <c r="H57" s="41">
        <f>IF(H$18="",0,IF(Exploitation!H24="",0,Exploitation!H24/H$18))</f>
        <v>0</v>
      </c>
      <c r="I57" s="41">
        <f>IF(I$18="",0,IF(Exploitation!I24="",0,Exploitation!I24/I$18))</f>
        <v>0</v>
      </c>
      <c r="J57" s="117">
        <f t="shared" si="12"/>
        <v>0</v>
      </c>
      <c r="K57" s="117">
        <f t="shared" si="11"/>
        <v>0</v>
      </c>
      <c r="L57" s="117">
        <f t="shared" si="11"/>
        <v>0</v>
      </c>
      <c r="M57" s="117">
        <f t="shared" si="11"/>
        <v>0</v>
      </c>
      <c r="N57" s="117">
        <f t="shared" si="11"/>
        <v>0</v>
      </c>
      <c r="O57" s="117">
        <f t="shared" si="11"/>
        <v>0</v>
      </c>
      <c r="P57" s="117">
        <f t="shared" si="11"/>
        <v>0</v>
      </c>
      <c r="Q57" s="117">
        <f t="shared" si="14"/>
        <v>0</v>
      </c>
    </row>
    <row r="58" spans="1:28" x14ac:dyDescent="0.35">
      <c r="A58" s="130">
        <v>11</v>
      </c>
      <c r="B58" s="131" t="str">
        <f>IF(Exploitation!B25="","",Exploitation!B25)</f>
        <v/>
      </c>
      <c r="C58" s="41">
        <f>IF(C$18="",0,IF(Exploitation!C25="",0,Exploitation!C25/C$18))</f>
        <v>0</v>
      </c>
      <c r="D58" s="41">
        <f>IF(D$18="",0,IF(Exploitation!D25="",0,Exploitation!D25/D$18))</f>
        <v>0</v>
      </c>
      <c r="E58" s="41">
        <f>IF(E$18="",0,IF(Exploitation!E25="",0,Exploitation!E25/E$18))</f>
        <v>0</v>
      </c>
      <c r="F58" s="41">
        <f>IF(F$18="",0,IF(Exploitation!F25="",0,Exploitation!F25/F$18))</f>
        <v>0</v>
      </c>
      <c r="G58" s="41">
        <f>IF(G$18="",0,IF(Exploitation!G25="",0,Exploitation!G25/G$18))</f>
        <v>0</v>
      </c>
      <c r="H58" s="41">
        <f>IF(H$18="",0,IF(Exploitation!H25="",0,Exploitation!H25/H$18))</f>
        <v>0</v>
      </c>
      <c r="I58" s="41">
        <f>IF(I$18="",0,IF(Exploitation!I25="",0,Exploitation!I25/I$18))</f>
        <v>0</v>
      </c>
      <c r="J58" s="117">
        <f t="shared" si="12"/>
        <v>0</v>
      </c>
      <c r="K58" s="117">
        <f t="shared" si="11"/>
        <v>0</v>
      </c>
      <c r="L58" s="117">
        <f t="shared" si="11"/>
        <v>0</v>
      </c>
      <c r="M58" s="117">
        <f t="shared" si="11"/>
        <v>0</v>
      </c>
      <c r="N58" s="117">
        <f t="shared" si="11"/>
        <v>0</v>
      </c>
      <c r="O58" s="117">
        <f t="shared" si="11"/>
        <v>0</v>
      </c>
      <c r="P58" s="117">
        <f t="shared" si="11"/>
        <v>0</v>
      </c>
      <c r="Q58" s="117">
        <f t="shared" si="14"/>
        <v>0</v>
      </c>
    </row>
    <row r="59" spans="1:28" x14ac:dyDescent="0.35">
      <c r="A59" s="130">
        <v>12</v>
      </c>
      <c r="B59" s="131" t="str">
        <f>IF(Exploitation!B26="","",Exploitation!B26)</f>
        <v/>
      </c>
      <c r="C59" s="41">
        <f>IF(C$18="",0,IF(Exploitation!C26="",0,Exploitation!C26/C$18))</f>
        <v>0</v>
      </c>
      <c r="D59" s="41">
        <f>IF(D$18="",0,IF(Exploitation!D26="",0,Exploitation!D26/D$18))</f>
        <v>0</v>
      </c>
      <c r="E59" s="41">
        <f>IF(E$18="",0,IF(Exploitation!E26="",0,Exploitation!E26/E$18))</f>
        <v>0</v>
      </c>
      <c r="F59" s="41">
        <f>IF(F$18="",0,IF(Exploitation!F26="",0,Exploitation!F26/F$18))</f>
        <v>0</v>
      </c>
      <c r="G59" s="41">
        <f>IF(G$18="",0,IF(Exploitation!G26="",0,Exploitation!G26/G$18))</f>
        <v>0</v>
      </c>
      <c r="H59" s="41">
        <f>IF(H$18="",0,IF(Exploitation!H26="",0,Exploitation!H26/H$18))</f>
        <v>0</v>
      </c>
      <c r="I59" s="41">
        <f>IF(I$18="",0,IF(Exploitation!I26="",0,Exploitation!I26/I$18))</f>
        <v>0</v>
      </c>
      <c r="J59" s="117">
        <f t="shared" si="12"/>
        <v>0</v>
      </c>
      <c r="K59" s="117">
        <f t="shared" si="11"/>
        <v>0</v>
      </c>
      <c r="L59" s="117">
        <f t="shared" si="11"/>
        <v>0</v>
      </c>
      <c r="M59" s="117">
        <f t="shared" si="11"/>
        <v>0</v>
      </c>
      <c r="N59" s="117">
        <f t="shared" si="11"/>
        <v>0</v>
      </c>
      <c r="O59" s="117">
        <f t="shared" si="11"/>
        <v>0</v>
      </c>
      <c r="P59" s="117">
        <f t="shared" si="11"/>
        <v>0</v>
      </c>
      <c r="Q59" s="117">
        <f t="shared" si="14"/>
        <v>0</v>
      </c>
    </row>
    <row r="60" spans="1:28" x14ac:dyDescent="0.35">
      <c r="A60" s="130">
        <v>13</v>
      </c>
      <c r="B60" s="131" t="str">
        <f>IF(Exploitation!B27="","",Exploitation!B27)</f>
        <v/>
      </c>
      <c r="C60" s="41">
        <f>IF(C$18="",0,IF(Exploitation!C27="",0,Exploitation!C27/C$18))</f>
        <v>0</v>
      </c>
      <c r="D60" s="41">
        <f>IF(D$18="",0,IF(Exploitation!D27="",0,Exploitation!D27/D$18))</f>
        <v>0</v>
      </c>
      <c r="E60" s="41">
        <f>IF(E$18="",0,IF(Exploitation!E27="",0,Exploitation!E27/E$18))</f>
        <v>0</v>
      </c>
      <c r="F60" s="41">
        <f>IF(F$18="",0,IF(Exploitation!F27="",0,Exploitation!F27/F$18))</f>
        <v>0</v>
      </c>
      <c r="G60" s="41">
        <f>IF(G$18="",0,IF(Exploitation!G27="",0,Exploitation!G27/G$18))</f>
        <v>0</v>
      </c>
      <c r="H60" s="41">
        <f>IF(H$18="",0,IF(Exploitation!H27="",0,Exploitation!H27/H$18))</f>
        <v>0</v>
      </c>
      <c r="I60" s="41">
        <f>IF(I$18="",0,IF(Exploitation!I27="",0,Exploitation!I27/I$18))</f>
        <v>0</v>
      </c>
      <c r="J60" s="117">
        <f t="shared" si="12"/>
        <v>0</v>
      </c>
      <c r="K60" s="117">
        <f t="shared" si="11"/>
        <v>0</v>
      </c>
      <c r="L60" s="117">
        <f t="shared" si="11"/>
        <v>0</v>
      </c>
      <c r="M60" s="117">
        <f t="shared" si="11"/>
        <v>0</v>
      </c>
      <c r="N60" s="117">
        <f t="shared" si="11"/>
        <v>0</v>
      </c>
      <c r="O60" s="117">
        <f t="shared" si="11"/>
        <v>0</v>
      </c>
      <c r="P60" s="117">
        <f t="shared" si="11"/>
        <v>0</v>
      </c>
      <c r="Q60" s="117">
        <f t="shared" si="14"/>
        <v>0</v>
      </c>
    </row>
    <row r="61" spans="1:28" x14ac:dyDescent="0.35">
      <c r="A61" s="130">
        <v>14</v>
      </c>
      <c r="B61" s="131" t="str">
        <f>IF(Exploitation!B28="","",Exploitation!B28)</f>
        <v/>
      </c>
      <c r="C61" s="41">
        <f>IF(C$18="",0,IF(Exploitation!C28="",0,Exploitation!C28/C$18))</f>
        <v>0</v>
      </c>
      <c r="D61" s="41">
        <f>IF(D$18="",0,IF(Exploitation!D28="",0,Exploitation!D28/D$18))</f>
        <v>0</v>
      </c>
      <c r="E61" s="41">
        <f>IF(E$18="",0,IF(Exploitation!E28="",0,Exploitation!E28/E$18))</f>
        <v>0</v>
      </c>
      <c r="F61" s="41">
        <f>IF(F$18="",0,IF(Exploitation!F28="",0,Exploitation!F28/F$18))</f>
        <v>0</v>
      </c>
      <c r="G61" s="41">
        <f>IF(G$18="",0,IF(Exploitation!G28="",0,Exploitation!G28/G$18))</f>
        <v>0</v>
      </c>
      <c r="H61" s="41">
        <f>IF(H$18="",0,IF(Exploitation!H28="",0,Exploitation!H28/H$18))</f>
        <v>0</v>
      </c>
      <c r="I61" s="41">
        <f>IF(I$18="",0,IF(Exploitation!I28="",0,Exploitation!I28/I$18))</f>
        <v>0</v>
      </c>
      <c r="J61" s="117">
        <f t="shared" si="12"/>
        <v>0</v>
      </c>
      <c r="K61" s="117">
        <f t="shared" si="11"/>
        <v>0</v>
      </c>
      <c r="L61" s="117">
        <f t="shared" si="11"/>
        <v>0</v>
      </c>
      <c r="M61" s="117">
        <f t="shared" si="11"/>
        <v>0</v>
      </c>
      <c r="N61" s="117">
        <f t="shared" si="11"/>
        <v>0</v>
      </c>
      <c r="O61" s="117">
        <f t="shared" si="11"/>
        <v>0</v>
      </c>
      <c r="P61" s="117">
        <f t="shared" si="11"/>
        <v>0</v>
      </c>
      <c r="Q61" s="117">
        <f t="shared" si="14"/>
        <v>0</v>
      </c>
    </row>
    <row r="62" spans="1:28" x14ac:dyDescent="0.35">
      <c r="A62" s="130">
        <v>15</v>
      </c>
      <c r="B62" s="131" t="str">
        <f>IF(Exploitation!B29="","",Exploitation!B29)</f>
        <v/>
      </c>
      <c r="C62" s="41">
        <f>IF(C$18="",0,IF(Exploitation!C29="",0,Exploitation!C29/C$18))</f>
        <v>0</v>
      </c>
      <c r="D62" s="41">
        <f>IF(D$18="",0,IF(Exploitation!D29="",0,Exploitation!D29/D$18))</f>
        <v>0</v>
      </c>
      <c r="E62" s="41">
        <f>IF(E$18="",0,IF(Exploitation!E29="",0,Exploitation!E29/E$18))</f>
        <v>0</v>
      </c>
      <c r="F62" s="41">
        <f>IF(F$18="",0,IF(Exploitation!F29="",0,Exploitation!F29/F$18))</f>
        <v>0</v>
      </c>
      <c r="G62" s="41">
        <f>IF(G$18="",0,IF(Exploitation!G29="",0,Exploitation!G29/G$18))</f>
        <v>0</v>
      </c>
      <c r="H62" s="41">
        <f>IF(H$18="",0,IF(Exploitation!H29="",0,Exploitation!H29/H$18))</f>
        <v>0</v>
      </c>
      <c r="I62" s="41">
        <f>IF(I$18="",0,IF(Exploitation!I29="",0,Exploitation!I29/I$18))</f>
        <v>0</v>
      </c>
      <c r="J62" s="117">
        <f t="shared" si="12"/>
        <v>0</v>
      </c>
      <c r="K62" s="117">
        <f t="shared" si="11"/>
        <v>0</v>
      </c>
      <c r="L62" s="117">
        <f t="shared" si="11"/>
        <v>0</v>
      </c>
      <c r="M62" s="117">
        <f t="shared" si="11"/>
        <v>0</v>
      </c>
      <c r="N62" s="117">
        <f t="shared" si="11"/>
        <v>0</v>
      </c>
      <c r="O62" s="117">
        <f t="shared" si="11"/>
        <v>0</v>
      </c>
      <c r="P62" s="117">
        <f t="shared" si="11"/>
        <v>0</v>
      </c>
      <c r="Q62" s="117">
        <f t="shared" si="14"/>
        <v>0</v>
      </c>
    </row>
    <row r="63" spans="1:28" x14ac:dyDescent="0.35">
      <c r="A63" s="130">
        <v>16</v>
      </c>
      <c r="B63" s="131" t="str">
        <f>IF(Exploitation!B30="","",Exploitation!B30)</f>
        <v/>
      </c>
      <c r="C63" s="41">
        <f>IF(C$18="",0,IF(Exploitation!C30="",0,Exploitation!C30/C$18))</f>
        <v>0</v>
      </c>
      <c r="D63" s="41">
        <f>IF(D$18="",0,IF(Exploitation!D30="",0,Exploitation!D30/D$18))</f>
        <v>0</v>
      </c>
      <c r="E63" s="41">
        <f>IF(E$18="",0,IF(Exploitation!E30="",0,Exploitation!E30/E$18))</f>
        <v>0</v>
      </c>
      <c r="F63" s="41">
        <f>IF(F$18="",0,IF(Exploitation!F30="",0,Exploitation!F30/F$18))</f>
        <v>0</v>
      </c>
      <c r="G63" s="41">
        <f>IF(G$18="",0,IF(Exploitation!G30="",0,Exploitation!G30/G$18))</f>
        <v>0</v>
      </c>
      <c r="H63" s="41">
        <f>IF(H$18="",0,IF(Exploitation!H30="",0,Exploitation!H30/H$18))</f>
        <v>0</v>
      </c>
      <c r="I63" s="41">
        <f>IF(I$18="",0,IF(Exploitation!I30="",0,Exploitation!I30/I$18))</f>
        <v>0</v>
      </c>
      <c r="J63" s="117">
        <f t="shared" si="12"/>
        <v>0</v>
      </c>
      <c r="K63" s="117">
        <f t="shared" si="11"/>
        <v>0</v>
      </c>
      <c r="L63" s="117">
        <f t="shared" si="11"/>
        <v>0</v>
      </c>
      <c r="M63" s="117">
        <f t="shared" si="11"/>
        <v>0</v>
      </c>
      <c r="N63" s="117">
        <f t="shared" si="11"/>
        <v>0</v>
      </c>
      <c r="O63" s="117">
        <f t="shared" si="11"/>
        <v>0</v>
      </c>
      <c r="P63" s="117">
        <f t="shared" si="11"/>
        <v>0</v>
      </c>
      <c r="Q63" s="117">
        <f t="shared" ref="Q63:Q67" si="15">SUM(J63:P63)</f>
        <v>0</v>
      </c>
    </row>
    <row r="64" spans="1:28" x14ac:dyDescent="0.35">
      <c r="A64" s="130">
        <v>17</v>
      </c>
      <c r="B64" s="131" t="str">
        <f>IF(Exploitation!B31="","",Exploitation!B31)</f>
        <v/>
      </c>
      <c r="C64" s="41">
        <f>IF(C$18="",0,IF(Exploitation!C31="",0,Exploitation!C31/C$18))</f>
        <v>0</v>
      </c>
      <c r="D64" s="41">
        <f>IF(D$18="",0,IF(Exploitation!D31="",0,Exploitation!D31/D$18))</f>
        <v>0</v>
      </c>
      <c r="E64" s="41">
        <f>IF(E$18="",0,IF(Exploitation!E31="",0,Exploitation!E31/E$18))</f>
        <v>0</v>
      </c>
      <c r="F64" s="41">
        <f>IF(F$18="",0,IF(Exploitation!F31="",0,Exploitation!F31/F$18))</f>
        <v>0</v>
      </c>
      <c r="G64" s="41">
        <f>IF(G$18="",0,IF(Exploitation!G31="",0,Exploitation!G31/G$18))</f>
        <v>0</v>
      </c>
      <c r="H64" s="41">
        <f>IF(H$18="",0,IF(Exploitation!H31="",0,Exploitation!H31/H$18))</f>
        <v>0</v>
      </c>
      <c r="I64" s="41">
        <f>IF(I$18="",0,IF(Exploitation!I31="",0,Exploitation!I31/I$18))</f>
        <v>0</v>
      </c>
      <c r="J64" s="117">
        <f>IF(ISERROR(C64*C$22),"",C64*C$22)</f>
        <v>0</v>
      </c>
      <c r="K64" s="117">
        <f t="shared" ref="K64:K67" si="16">IF(ISERROR(D64*D$22),"",D64*D$22)</f>
        <v>0</v>
      </c>
      <c r="L64" s="117">
        <f t="shared" ref="L64:L67" si="17">IF(ISERROR(E64*E$22),"",E64*E$22)</f>
        <v>0</v>
      </c>
      <c r="M64" s="117">
        <f t="shared" ref="M64:M67" si="18">IF(ISERROR(F64*F$22),"",F64*F$22)</f>
        <v>0</v>
      </c>
      <c r="N64" s="117">
        <f t="shared" ref="N64:N67" si="19">IF(ISERROR(G64*G$22),"",G64*G$22)</f>
        <v>0</v>
      </c>
      <c r="O64" s="117">
        <f t="shared" ref="O64:O67" si="20">IF(ISERROR(H64*H$22),"",H64*H$22)</f>
        <v>0</v>
      </c>
      <c r="P64" s="117">
        <f t="shared" ref="P64:P67" si="21">IF(ISERROR(I64*I$22),"",I64*I$22)</f>
        <v>0</v>
      </c>
      <c r="Q64" s="117">
        <f t="shared" si="15"/>
        <v>0</v>
      </c>
    </row>
    <row r="65" spans="1:56" x14ac:dyDescent="0.35">
      <c r="A65" s="130">
        <v>18</v>
      </c>
      <c r="B65" s="131" t="str">
        <f>IF(Exploitation!B32="","",Exploitation!B32)</f>
        <v/>
      </c>
      <c r="C65" s="41">
        <f>IF(C$18="",0,IF(Exploitation!C32="",0,Exploitation!C32/C$18))</f>
        <v>0</v>
      </c>
      <c r="D65" s="41">
        <f>IF(D$18="",0,IF(Exploitation!D32="",0,Exploitation!D32/D$18))</f>
        <v>0</v>
      </c>
      <c r="E65" s="41">
        <f>IF(E$18="",0,IF(Exploitation!E32="",0,Exploitation!E32/E$18))</f>
        <v>0</v>
      </c>
      <c r="F65" s="41">
        <f>IF(F$18="",0,IF(Exploitation!F32="",0,Exploitation!F32/F$18))</f>
        <v>0</v>
      </c>
      <c r="G65" s="41">
        <f>IF(G$18="",0,IF(Exploitation!G32="",0,Exploitation!G32/G$18))</f>
        <v>0</v>
      </c>
      <c r="H65" s="41">
        <f>IF(H$18="",0,IF(Exploitation!H32="",0,Exploitation!H32/H$18))</f>
        <v>0</v>
      </c>
      <c r="I65" s="41">
        <f>IF(I$18="",0,IF(Exploitation!I32="",0,Exploitation!I32/I$18))</f>
        <v>0</v>
      </c>
      <c r="J65" s="117">
        <f t="shared" si="12"/>
        <v>0</v>
      </c>
      <c r="K65" s="117">
        <f t="shared" si="16"/>
        <v>0</v>
      </c>
      <c r="L65" s="117">
        <f t="shared" si="17"/>
        <v>0</v>
      </c>
      <c r="M65" s="117">
        <f t="shared" si="18"/>
        <v>0</v>
      </c>
      <c r="N65" s="117">
        <f t="shared" si="19"/>
        <v>0</v>
      </c>
      <c r="O65" s="117">
        <f t="shared" si="20"/>
        <v>0</v>
      </c>
      <c r="P65" s="117">
        <f t="shared" si="21"/>
        <v>0</v>
      </c>
      <c r="Q65" s="117">
        <f t="shared" si="15"/>
        <v>0</v>
      </c>
    </row>
    <row r="66" spans="1:56" x14ac:dyDescent="0.35">
      <c r="A66" s="130">
        <v>19</v>
      </c>
      <c r="B66" s="131" t="str">
        <f>IF(Exploitation!B33="","",Exploitation!B33)</f>
        <v/>
      </c>
      <c r="C66" s="41">
        <f>IF(C$18="",0,IF(Exploitation!C33="",0,Exploitation!C33/C$18))</f>
        <v>0</v>
      </c>
      <c r="D66" s="41">
        <f>IF(D$18="",0,IF(Exploitation!D33="",0,Exploitation!D33/D$18))</f>
        <v>0</v>
      </c>
      <c r="E66" s="41">
        <f>IF(E$18="",0,IF(Exploitation!E33="",0,Exploitation!E33/E$18))</f>
        <v>0</v>
      </c>
      <c r="F66" s="41">
        <f>IF(F$18="",0,IF(Exploitation!F33="",0,Exploitation!F33/F$18))</f>
        <v>0</v>
      </c>
      <c r="G66" s="41">
        <f>IF(G$18="",0,IF(Exploitation!G33="",0,Exploitation!G33/G$18))</f>
        <v>0</v>
      </c>
      <c r="H66" s="41">
        <f>IF(H$18="",0,IF(Exploitation!H33="",0,Exploitation!H33/H$18))</f>
        <v>0</v>
      </c>
      <c r="I66" s="41">
        <f>IF(I$18="",0,IF(Exploitation!I33="",0,Exploitation!I33/I$18))</f>
        <v>0</v>
      </c>
      <c r="J66" s="117">
        <f t="shared" si="12"/>
        <v>0</v>
      </c>
      <c r="K66" s="117">
        <f t="shared" si="16"/>
        <v>0</v>
      </c>
      <c r="L66" s="117">
        <f t="shared" si="17"/>
        <v>0</v>
      </c>
      <c r="M66" s="117">
        <f t="shared" si="18"/>
        <v>0</v>
      </c>
      <c r="N66" s="117">
        <f t="shared" si="19"/>
        <v>0</v>
      </c>
      <c r="O66" s="117">
        <f t="shared" si="20"/>
        <v>0</v>
      </c>
      <c r="P66" s="117">
        <f t="shared" si="21"/>
        <v>0</v>
      </c>
      <c r="Q66" s="117">
        <f t="shared" si="15"/>
        <v>0</v>
      </c>
    </row>
    <row r="67" spans="1:56" x14ac:dyDescent="0.35">
      <c r="A67" s="130">
        <v>20</v>
      </c>
      <c r="B67" s="131" t="str">
        <f>IF(Exploitation!B34="","",Exploitation!B34)</f>
        <v/>
      </c>
      <c r="C67" s="41">
        <f>IF(C$18="",0,IF(Exploitation!C34="",0,Exploitation!C34/C$18))</f>
        <v>0</v>
      </c>
      <c r="D67" s="41">
        <f>IF(D$18="",0,IF(Exploitation!D34="",0,Exploitation!D34/D$18))</f>
        <v>0</v>
      </c>
      <c r="E67" s="41">
        <f>IF(E$18="",0,IF(Exploitation!E34="",0,Exploitation!E34/E$18))</f>
        <v>0</v>
      </c>
      <c r="F67" s="41">
        <f>IF(F$18="",0,IF(Exploitation!F34="",0,Exploitation!F34/F$18))</f>
        <v>0</v>
      </c>
      <c r="G67" s="41">
        <f>IF(G$18="",0,IF(Exploitation!G34="",0,Exploitation!G34/G$18))</f>
        <v>0</v>
      </c>
      <c r="H67" s="41">
        <f>IF(H$18="",0,IF(Exploitation!H34="",0,Exploitation!H34/H$18))</f>
        <v>0</v>
      </c>
      <c r="I67" s="41">
        <f>IF(I$18="",0,IF(Exploitation!I34="",0,Exploitation!I34/I$18))</f>
        <v>0</v>
      </c>
      <c r="J67" s="117">
        <f t="shared" si="12"/>
        <v>0</v>
      </c>
      <c r="K67" s="117">
        <f t="shared" si="16"/>
        <v>0</v>
      </c>
      <c r="L67" s="117">
        <f t="shared" si="17"/>
        <v>0</v>
      </c>
      <c r="M67" s="117">
        <f t="shared" si="18"/>
        <v>0</v>
      </c>
      <c r="N67" s="117">
        <f t="shared" si="19"/>
        <v>0</v>
      </c>
      <c r="O67" s="117">
        <f t="shared" si="20"/>
        <v>0</v>
      </c>
      <c r="P67" s="117">
        <f t="shared" si="21"/>
        <v>0</v>
      </c>
      <c r="Q67" s="117">
        <f t="shared" si="15"/>
        <v>0</v>
      </c>
    </row>
    <row r="68" spans="1:56" x14ac:dyDescent="0.35">
      <c r="B68" s="132" t="s">
        <v>171</v>
      </c>
      <c r="C68" s="133">
        <f>SUM(C48:C67)</f>
        <v>0</v>
      </c>
      <c r="D68" s="133">
        <f t="shared" ref="D68:I68" si="22">SUM(D48:D67)</f>
        <v>0</v>
      </c>
      <c r="E68" s="133">
        <f t="shared" si="22"/>
        <v>0</v>
      </c>
      <c r="F68" s="133">
        <f t="shared" si="22"/>
        <v>0</v>
      </c>
      <c r="G68" s="133">
        <f t="shared" si="22"/>
        <v>0</v>
      </c>
      <c r="H68" s="133">
        <f t="shared" si="22"/>
        <v>0</v>
      </c>
      <c r="I68" s="133">
        <f t="shared" si="22"/>
        <v>0</v>
      </c>
    </row>
    <row r="69" spans="1:56" x14ac:dyDescent="0.35">
      <c r="C69" s="133"/>
      <c r="D69" s="133"/>
      <c r="E69" s="133"/>
      <c r="F69" s="133"/>
      <c r="G69" s="133"/>
      <c r="H69" s="133"/>
      <c r="I69" s="133"/>
      <c r="J69" s="133"/>
    </row>
    <row r="70" spans="1:56" x14ac:dyDescent="0.35">
      <c r="B70" s="127" t="s">
        <v>13</v>
      </c>
      <c r="C70" s="133"/>
      <c r="D70" s="133"/>
      <c r="E70" s="133"/>
      <c r="F70" s="133"/>
      <c r="G70" s="133"/>
      <c r="H70" s="133"/>
      <c r="I70" s="133"/>
      <c r="J70" s="133"/>
    </row>
    <row r="71" spans="1:56" x14ac:dyDescent="0.35">
      <c r="C71" s="133"/>
      <c r="D71" s="133"/>
      <c r="E71" s="133"/>
      <c r="F71" s="133"/>
      <c r="G71" s="133"/>
      <c r="H71" s="133"/>
      <c r="I71" s="133"/>
      <c r="J71" s="163"/>
      <c r="K71" s="134"/>
    </row>
    <row r="72" spans="1:56" x14ac:dyDescent="0.35">
      <c r="C72" s="133" t="s">
        <v>192</v>
      </c>
      <c r="D72" s="133"/>
      <c r="E72" s="133"/>
      <c r="F72" s="133"/>
      <c r="G72" s="133"/>
      <c r="I72" s="133"/>
      <c r="J72" s="133"/>
      <c r="K72" s="133"/>
      <c r="AL72" s="522" t="s">
        <v>195</v>
      </c>
      <c r="AM72" s="523"/>
      <c r="AN72" s="523"/>
      <c r="AO72" s="523"/>
      <c r="AP72" s="523"/>
      <c r="AQ72" s="523"/>
      <c r="AR72" s="523"/>
      <c r="AS72" s="523"/>
      <c r="AT72" s="523"/>
      <c r="AU72" s="523"/>
      <c r="AV72" s="523"/>
      <c r="AW72" s="523"/>
      <c r="AX72" s="523"/>
      <c r="AY72" s="523"/>
      <c r="AZ72" s="523"/>
      <c r="BA72" s="523"/>
      <c r="BB72" s="524"/>
    </row>
    <row r="73" spans="1:56" ht="45" customHeight="1" x14ac:dyDescent="0.35">
      <c r="C73" s="133"/>
      <c r="D73" s="133"/>
      <c r="E73" s="133"/>
      <c r="F73" s="133"/>
      <c r="G73" s="133"/>
      <c r="H73" s="133"/>
      <c r="J73" s="528" t="s">
        <v>46</v>
      </c>
      <c r="K73" s="530"/>
      <c r="L73" s="530"/>
      <c r="M73" s="529"/>
      <c r="N73" s="528" t="s">
        <v>47</v>
      </c>
      <c r="O73" s="530"/>
      <c r="P73" s="530"/>
      <c r="Q73" s="529"/>
      <c r="R73" s="528" t="s">
        <v>51</v>
      </c>
      <c r="S73" s="530"/>
      <c r="T73" s="530"/>
      <c r="U73" s="529"/>
      <c r="V73" s="531" t="s">
        <v>124</v>
      </c>
      <c r="W73" s="532"/>
      <c r="X73" s="532"/>
      <c r="Y73" s="533"/>
      <c r="Z73" s="531" t="s">
        <v>49</v>
      </c>
      <c r="AA73" s="532"/>
      <c r="AB73" s="532"/>
      <c r="AC73" s="533"/>
      <c r="AD73" s="531" t="s">
        <v>48</v>
      </c>
      <c r="AE73" s="532"/>
      <c r="AF73" s="532"/>
      <c r="AG73" s="533"/>
      <c r="AH73" s="531" t="s">
        <v>52</v>
      </c>
      <c r="AI73" s="532"/>
      <c r="AJ73" s="532"/>
      <c r="AK73" s="533"/>
      <c r="AM73" s="528" t="s">
        <v>46</v>
      </c>
      <c r="AN73" s="529"/>
      <c r="AO73" s="528" t="s">
        <v>47</v>
      </c>
      <c r="AP73" s="529"/>
      <c r="AQ73" s="528" t="s">
        <v>51</v>
      </c>
      <c r="AR73" s="529"/>
      <c r="AS73" s="528" t="s">
        <v>124</v>
      </c>
      <c r="AT73" s="529"/>
      <c r="AU73" s="528" t="s">
        <v>49</v>
      </c>
      <c r="AV73" s="529"/>
      <c r="AW73" s="528" t="s">
        <v>48</v>
      </c>
      <c r="AX73" s="529"/>
      <c r="AY73" s="528" t="s">
        <v>52</v>
      </c>
      <c r="AZ73" s="529"/>
      <c r="BA73" s="517" t="s">
        <v>16</v>
      </c>
      <c r="BB73" s="518"/>
      <c r="BC73" s="519"/>
    </row>
    <row r="74" spans="1:56" ht="58" x14ac:dyDescent="0.35">
      <c r="C74" s="135" t="s">
        <v>7</v>
      </c>
      <c r="D74" s="136" t="s">
        <v>0</v>
      </c>
      <c r="E74" s="136" t="s">
        <v>1</v>
      </c>
      <c r="F74" s="135" t="s">
        <v>8</v>
      </c>
      <c r="G74" s="135" t="s">
        <v>186</v>
      </c>
      <c r="H74" s="355" t="s">
        <v>332</v>
      </c>
      <c r="I74" s="135" t="s">
        <v>727</v>
      </c>
      <c r="J74" s="135" t="s">
        <v>196</v>
      </c>
      <c r="K74" s="135" t="s">
        <v>197</v>
      </c>
      <c r="L74" s="135" t="s">
        <v>172</v>
      </c>
      <c r="M74" s="135" t="s">
        <v>173</v>
      </c>
      <c r="N74" s="136" t="s">
        <v>73</v>
      </c>
      <c r="O74" s="136" t="s">
        <v>183</v>
      </c>
      <c r="P74" s="135" t="s">
        <v>172</v>
      </c>
      <c r="Q74" s="135" t="s">
        <v>173</v>
      </c>
      <c r="R74" s="136" t="s">
        <v>73</v>
      </c>
      <c r="S74" s="136" t="s">
        <v>183</v>
      </c>
      <c r="T74" s="135" t="s">
        <v>172</v>
      </c>
      <c r="U74" s="135" t="s">
        <v>173</v>
      </c>
      <c r="V74" s="136" t="s">
        <v>73</v>
      </c>
      <c r="W74" s="136" t="s">
        <v>183</v>
      </c>
      <c r="X74" s="135" t="s">
        <v>172</v>
      </c>
      <c r="Y74" s="135" t="s">
        <v>173</v>
      </c>
      <c r="Z74" s="135" t="s">
        <v>73</v>
      </c>
      <c r="AA74" s="136" t="s">
        <v>183</v>
      </c>
      <c r="AB74" s="135" t="s">
        <v>172</v>
      </c>
      <c r="AC74" s="135" t="s">
        <v>173</v>
      </c>
      <c r="AD74" s="135" t="s">
        <v>73</v>
      </c>
      <c r="AE74" s="136" t="s">
        <v>183</v>
      </c>
      <c r="AF74" s="135" t="s">
        <v>172</v>
      </c>
      <c r="AG74" s="135" t="s">
        <v>173</v>
      </c>
      <c r="AH74" s="135" t="s">
        <v>73</v>
      </c>
      <c r="AI74" s="136" t="s">
        <v>183</v>
      </c>
      <c r="AJ74" s="135" t="s">
        <v>172</v>
      </c>
      <c r="AK74" s="135" t="s">
        <v>173</v>
      </c>
      <c r="AL74" s="53"/>
      <c r="AM74" s="135" t="s">
        <v>177</v>
      </c>
      <c r="AN74" s="135" t="s">
        <v>178</v>
      </c>
      <c r="AO74" s="135" t="s">
        <v>177</v>
      </c>
      <c r="AP74" s="135" t="s">
        <v>178</v>
      </c>
      <c r="AQ74" s="135" t="s">
        <v>177</v>
      </c>
      <c r="AR74" s="135" t="s">
        <v>178</v>
      </c>
      <c r="AS74" s="135" t="s">
        <v>177</v>
      </c>
      <c r="AT74" s="135" t="s">
        <v>178</v>
      </c>
      <c r="AU74" s="135" t="s">
        <v>177</v>
      </c>
      <c r="AV74" s="135" t="s">
        <v>178</v>
      </c>
      <c r="AW74" s="135" t="s">
        <v>177</v>
      </c>
      <c r="AX74" s="135" t="s">
        <v>178</v>
      </c>
      <c r="AY74" s="135" t="s">
        <v>177</v>
      </c>
      <c r="AZ74" s="135" t="s">
        <v>178</v>
      </c>
      <c r="BA74" s="137" t="s">
        <v>174</v>
      </c>
      <c r="BB74" s="137" t="s">
        <v>175</v>
      </c>
      <c r="BC74" s="137" t="s">
        <v>176</v>
      </c>
      <c r="BD74" s="138" t="s">
        <v>194</v>
      </c>
    </row>
    <row r="75" spans="1:56" x14ac:dyDescent="0.35">
      <c r="A75" s="130">
        <v>1</v>
      </c>
      <c r="B75" s="131" t="str">
        <f>IF(Exploitation!B15="","",Exploitation!B15)</f>
        <v/>
      </c>
      <c r="C75" s="139" t="str">
        <f>IF(Exploitation!$C54="","",Exploitation!$C54)</f>
        <v/>
      </c>
      <c r="D75" s="140" t="str">
        <f>IF(ISERROR(VLOOKUP(C75,'Données d''entrée'!$B$88:$D$91,2,FALSE)),"",VLOOKUP(C75,'Données d''entrée'!$B$88:$D$91,2,FALSE))</f>
        <v/>
      </c>
      <c r="E75" s="140" t="str">
        <f>IF(ISERROR(VLOOKUP(C75,'Données d''entrée'!$B$88:$D$91,3,FALSE)),"",VLOOKUP(C75,'Données d''entrée'!$B$88:$D$91,3,FALSE))</f>
        <v/>
      </c>
      <c r="F75" s="139" t="str">
        <f>IF(Exploitation!$D54="","",Exploitation!$D54)</f>
        <v/>
      </c>
      <c r="G75" s="139" t="str">
        <f>IF(Exploitation!G54="","",Exploitation!G54)</f>
        <v/>
      </c>
      <c r="H75" s="139" t="str">
        <f>IF(Exploitation!H54="","",Exploitation!H54)</f>
        <v/>
      </c>
      <c r="I75" s="358" t="str">
        <f>IF(Exploitation!I54="","",1-Exploitation!I54)</f>
        <v/>
      </c>
      <c r="J75" s="141">
        <f>IF(ISERROR(C48*$C$39*$D75),0,C48*$C$39*$D75)</f>
        <v>0</v>
      </c>
      <c r="K75" s="141">
        <f>IF(ISERROR(C48*$C$39*$E75),0,C48*$C$39*$E75)</f>
        <v>0</v>
      </c>
      <c r="L75" s="119">
        <f>'Données d''entrée'!$D$354</f>
        <v>0.27</v>
      </c>
      <c r="M75" s="40">
        <f>'Données d''entrée'!$D$357</f>
        <v>0.28000000000000003</v>
      </c>
      <c r="N75" s="141">
        <f>IF(ISERROR(D48*$D$39*$D75),0,D48*$D$39*$D75)</f>
        <v>0</v>
      </c>
      <c r="O75" s="141">
        <f>IF(ISERROR(D48*$D$39*$E75),0,D48*$D$39*$E75)</f>
        <v>0</v>
      </c>
      <c r="P75" s="119">
        <f>'Données d''entrée'!$E$354</f>
        <v>0.27</v>
      </c>
      <c r="Q75" s="40">
        <f>'Données d''entrée'!$E$357</f>
        <v>0.28000000000000003</v>
      </c>
      <c r="R75" s="141">
        <f>IF(ISERROR(E48*$E$39*$D75),0,E48*$E$39*$D75)</f>
        <v>0</v>
      </c>
      <c r="S75" s="141">
        <f>IF(ISERROR(E48*$E$39*$E75),0,E48*$E$39*$E75)</f>
        <v>0</v>
      </c>
      <c r="T75" s="119">
        <f>'Données d''entrée'!$F$354</f>
        <v>0.27</v>
      </c>
      <c r="U75" s="40">
        <f>'Données d''entrée'!$F$357</f>
        <v>0.28000000000000003</v>
      </c>
      <c r="V75" s="141">
        <f>IF(ISERROR(F48*$F$39*$D75),0,F48*$F$39*$D75)</f>
        <v>0</v>
      </c>
      <c r="W75" s="141">
        <f>IF(ISERROR(F48*$F$39*$E75),0,F48*$F$39*$E75)</f>
        <v>0</v>
      </c>
      <c r="X75" s="119">
        <f>'Données d''entrée'!$G$354</f>
        <v>0.25</v>
      </c>
      <c r="Y75" s="40">
        <f>'Données d''entrée'!$G$357</f>
        <v>0.22</v>
      </c>
      <c r="Z75" s="141">
        <f>IF(ISERROR(G48*$G$39*$D75),0,G48*$G$39*$D75)</f>
        <v>0</v>
      </c>
      <c r="AA75" s="141">
        <f>IF(ISERROR(G48*$G$39*$E75),0,G48*$G$39*$E75)</f>
        <v>0</v>
      </c>
      <c r="AB75" s="119">
        <f>'Données d''entrée'!$H$354</f>
        <v>0.25</v>
      </c>
      <c r="AC75" s="40">
        <f>'Données d''entrée'!$H$357</f>
        <v>0.22</v>
      </c>
      <c r="AD75" s="141">
        <f>IF(ISERROR(H48*$H$39*$D75),0,H48*$H$39*$D75)</f>
        <v>0</v>
      </c>
      <c r="AE75" s="141">
        <f>IF(ISERROR(H48*$H$39*$E75),0,H48*$H$39*$E75)</f>
        <v>0</v>
      </c>
      <c r="AF75" s="119">
        <f>'Données d''entrée'!$I$354</f>
        <v>0.25</v>
      </c>
      <c r="AG75" s="40">
        <f>'Données d''entrée'!$I$357</f>
        <v>0.22</v>
      </c>
      <c r="AH75" s="141">
        <f>IF(ISERROR(I48*$I$39*$D75),0,I48*$I$39*$D75)</f>
        <v>0</v>
      </c>
      <c r="AI75" s="141">
        <f>IF(ISERROR(I48*$I$39*$E75),0,I48*$I$39*$E75)</f>
        <v>0</v>
      </c>
      <c r="AJ75" s="119">
        <f>'Données d''entrée'!$J$354</f>
        <v>0.25</v>
      </c>
      <c r="AK75" s="40">
        <f>'Données d''entrée'!$J$357</f>
        <v>0.22</v>
      </c>
      <c r="AM75" s="125">
        <f>IF(ISERROR(J75*L75),"",J75*L75)</f>
        <v>0</v>
      </c>
      <c r="AN75" s="125">
        <f>IF(ISERROR(K75*M75),"",K75*M75)</f>
        <v>0</v>
      </c>
      <c r="AO75" s="125">
        <f>IF(ISERROR(N75*P75),"",N75*P75)</f>
        <v>0</v>
      </c>
      <c r="AP75" s="125">
        <f>IF(ISERROR(O75*Q75),"",O75*Q75)</f>
        <v>0</v>
      </c>
      <c r="AQ75" s="125">
        <f>IF(ISERROR(R75*T75),"",R75*T75)</f>
        <v>0</v>
      </c>
      <c r="AR75" s="125">
        <f>IF(ISERROR(S75*U75),"",S75*U75)</f>
        <v>0</v>
      </c>
      <c r="AS75" s="125">
        <f>IF(ISERROR(V75*X75),"",V75*X75)</f>
        <v>0</v>
      </c>
      <c r="AT75" s="125">
        <f>IF(ISERROR(W75*Y75),"",W75*Y75)</f>
        <v>0</v>
      </c>
      <c r="AU75" s="125">
        <f>IF(ISERROR(Z75*AB75),"",Z75*AB75)</f>
        <v>0</v>
      </c>
      <c r="AV75" s="125">
        <f>IF(ISERROR(AA75*AC75),"",AA75*AC75)</f>
        <v>0</v>
      </c>
      <c r="AW75" s="125">
        <f>IF(ISERROR(AD75*AF75),"",AD75*AF75)</f>
        <v>0</v>
      </c>
      <c r="AX75" s="125">
        <f>IF(ISERROR(AE75*AG75),"",AE75*AG75)</f>
        <v>0</v>
      </c>
      <c r="AY75" s="125">
        <f>IF(ISERROR(AH75*AJ75),"",AH75*AJ75)</f>
        <v>0</v>
      </c>
      <c r="AZ75" s="125">
        <f>IF(ISERROR(AI75*AK75),"",AI75*AK75)</f>
        <v>0</v>
      </c>
      <c r="BA75" s="125" t="str">
        <f t="shared" ref="BA75:BA94" si="23">IF(B75="","",SUM(AM75,AO75,AQ75,AS75,AU75,AW75,AY75))</f>
        <v/>
      </c>
      <c r="BB75" s="125" t="str">
        <f t="shared" ref="BB75:BB94" si="24">IF(B75="","",SUM(AN75,AP75,AR75,AT75,AV75,AX75,AZ75))</f>
        <v/>
      </c>
      <c r="BC75" s="125" t="str">
        <f>IF(AND(BA75="",BB75=""),"",SUM(BA75:BB75))</f>
        <v/>
      </c>
      <c r="BD75" s="143" t="str">
        <f>IF(ISERROR(SUM(AM75:AZ75)-BC75),"",SUM(AM75:AZ75)-BC75)</f>
        <v/>
      </c>
    </row>
    <row r="76" spans="1:56" x14ac:dyDescent="0.35">
      <c r="A76" s="130">
        <v>2</v>
      </c>
      <c r="B76" s="131" t="str">
        <f>IF(Exploitation!B16="","",Exploitation!B16)</f>
        <v/>
      </c>
      <c r="C76" s="139" t="str">
        <f>IF(Exploitation!$C55="","",Exploitation!$C55)</f>
        <v/>
      </c>
      <c r="D76" s="140" t="str">
        <f>IF(ISERROR(VLOOKUP(C76,'Données d''entrée'!$B$88:$D$91,2,FALSE)),"",VLOOKUP(C76,'Données d''entrée'!$B$88:$D$91,2,FALSE))</f>
        <v/>
      </c>
      <c r="E76" s="140" t="str">
        <f>IF(ISERROR(VLOOKUP(C76,'Données d''entrée'!$B$88:$D$91,3,FALSE)),"",VLOOKUP(C76,'Données d''entrée'!$B$88:$D$91,3,FALSE))</f>
        <v/>
      </c>
      <c r="F76" s="139" t="str">
        <f>IF(Exploitation!$D55="","",Exploitation!$D55)</f>
        <v/>
      </c>
      <c r="G76" s="139" t="str">
        <f>IF(Exploitation!G55="","",Exploitation!G55)</f>
        <v/>
      </c>
      <c r="H76" s="139" t="str">
        <f>IF(Exploitation!H55="","",Exploitation!H55)</f>
        <v/>
      </c>
      <c r="I76" s="358" t="str">
        <f>IF(Exploitation!I55="","",1-Exploitation!I55)</f>
        <v/>
      </c>
      <c r="J76" s="141">
        <f t="shared" ref="J76:J94" si="25">IF(ISERROR(C49*$C$39*$D76),0,C49*$C$39*$D76)</f>
        <v>0</v>
      </c>
      <c r="K76" s="141">
        <f t="shared" ref="K76:K94" si="26">IF(ISERROR(C49*$C$39*$E76),0,C49*$C$39*$E76)</f>
        <v>0</v>
      </c>
      <c r="L76" s="119">
        <f>'Données d''entrée'!$D$354</f>
        <v>0.27</v>
      </c>
      <c r="M76" s="40">
        <f>'Données d''entrée'!$D$357</f>
        <v>0.28000000000000003</v>
      </c>
      <c r="N76" s="141">
        <f t="shared" ref="N76:N94" si="27">IF(ISERROR(D49*$D$39*$D76),0,D49*$D$39*$D76)</f>
        <v>0</v>
      </c>
      <c r="O76" s="141">
        <f t="shared" ref="O76:O94" si="28">IF(ISERROR(D49*$D$39*$E76),0,D49*$D$39*$E76)</f>
        <v>0</v>
      </c>
      <c r="P76" s="119">
        <f>'Données d''entrée'!$E$354</f>
        <v>0.27</v>
      </c>
      <c r="Q76" s="40">
        <f>'Données d''entrée'!$E$357</f>
        <v>0.28000000000000003</v>
      </c>
      <c r="R76" s="141">
        <f t="shared" ref="R76:R94" si="29">IF(ISERROR(E49*$E$39*$D76),0,E49*$E$39*$D76)</f>
        <v>0</v>
      </c>
      <c r="S76" s="141">
        <f t="shared" ref="S76:S94" si="30">IF(ISERROR(E49*$E$39*$E76),0,E49*$E$39*$E76)</f>
        <v>0</v>
      </c>
      <c r="T76" s="119">
        <f>'Données d''entrée'!$F$354</f>
        <v>0.27</v>
      </c>
      <c r="U76" s="40">
        <f>'Données d''entrée'!$F$357</f>
        <v>0.28000000000000003</v>
      </c>
      <c r="V76" s="141">
        <f t="shared" ref="V76:V94" si="31">IF(ISERROR(F49*$F$39*$D76),0,F49*$F$39*$D76)</f>
        <v>0</v>
      </c>
      <c r="W76" s="141">
        <f t="shared" ref="W76:W94" si="32">IF(ISERROR(F49*$F$39*$E76),0,F49*$F$39*$E76)</f>
        <v>0</v>
      </c>
      <c r="X76" s="119">
        <f>'Données d''entrée'!$G$354</f>
        <v>0.25</v>
      </c>
      <c r="Y76" s="40">
        <f>'Données d''entrée'!$G$357</f>
        <v>0.22</v>
      </c>
      <c r="Z76" s="141">
        <f t="shared" ref="Z76:Z94" si="33">IF(ISERROR(G49*$G$39*$D76),0,G49*$G$39*$D76)</f>
        <v>0</v>
      </c>
      <c r="AA76" s="141">
        <f t="shared" ref="AA76:AA94" si="34">IF(ISERROR(G49*$G$39*$E76),0,G49*$G$39*$E76)</f>
        <v>0</v>
      </c>
      <c r="AB76" s="119">
        <f>'Données d''entrée'!$H$354</f>
        <v>0.25</v>
      </c>
      <c r="AC76" s="40">
        <f>'Données d''entrée'!$H$357</f>
        <v>0.22</v>
      </c>
      <c r="AD76" s="141">
        <f t="shared" ref="AD76:AD94" si="35">IF(ISERROR(H49*$H$39*$D76),0,H49*$H$39*$D76)</f>
        <v>0</v>
      </c>
      <c r="AE76" s="141">
        <f t="shared" ref="AE76:AE94" si="36">IF(ISERROR(H49*$H$39*$E76),0,H49*$H$39*$E76)</f>
        <v>0</v>
      </c>
      <c r="AF76" s="119">
        <f>'Données d''entrée'!$I$354</f>
        <v>0.25</v>
      </c>
      <c r="AG76" s="40">
        <f>'Données d''entrée'!$I$357</f>
        <v>0.22</v>
      </c>
      <c r="AH76" s="141">
        <f t="shared" ref="AH76:AH94" si="37">IF(ISERROR(I49*$I$39*$D76),0,I49*$I$39*$D76)</f>
        <v>0</v>
      </c>
      <c r="AI76" s="141">
        <f t="shared" ref="AI76:AI94" si="38">IF(ISERROR(I49*$I$39*$E76),0,I49*$I$39*$E76)</f>
        <v>0</v>
      </c>
      <c r="AJ76" s="119">
        <f>'Données d''entrée'!$J$354</f>
        <v>0.25</v>
      </c>
      <c r="AK76" s="40">
        <f>'Données d''entrée'!$J$357</f>
        <v>0.22</v>
      </c>
      <c r="AM76" s="125">
        <f t="shared" ref="AM76:AM89" si="39">IF(ISERROR(J76*L76),"",J76*L76)</f>
        <v>0</v>
      </c>
      <c r="AN76" s="125">
        <f t="shared" ref="AN76:AN89" si="40">IF(ISERROR(K76*M76),"",K76*M76)</f>
        <v>0</v>
      </c>
      <c r="AO76" s="125">
        <f t="shared" ref="AO76:AO89" si="41">IF(ISERROR(N76*P76),"",N76*P76)</f>
        <v>0</v>
      </c>
      <c r="AP76" s="125">
        <f t="shared" ref="AP76:AP89" si="42">IF(ISERROR(O76*Q76),"",O76*Q76)</f>
        <v>0</v>
      </c>
      <c r="AQ76" s="125">
        <f t="shared" ref="AQ76:AQ89" si="43">IF(ISERROR(R76*T76),"",R76*T76)</f>
        <v>0</v>
      </c>
      <c r="AR76" s="125">
        <f t="shared" ref="AR76:AR89" si="44">IF(ISERROR(S76*U76),"",S76*U76)</f>
        <v>0</v>
      </c>
      <c r="AS76" s="125">
        <f t="shared" ref="AS76:AS89" si="45">IF(ISERROR(V76*X76),"",V76*X76)</f>
        <v>0</v>
      </c>
      <c r="AT76" s="125">
        <f t="shared" ref="AT76:AT89" si="46">IF(ISERROR(W76*Y76),"",W76*Y76)</f>
        <v>0</v>
      </c>
      <c r="AU76" s="125">
        <f t="shared" ref="AU76:AU89" si="47">IF(ISERROR(Z76*AB76),"",Z76*AB76)</f>
        <v>0</v>
      </c>
      <c r="AV76" s="125">
        <f t="shared" ref="AV76:AV89" si="48">IF(ISERROR(AA76*AC76),"",AA76*AC76)</f>
        <v>0</v>
      </c>
      <c r="AW76" s="125">
        <f t="shared" ref="AW76:AW89" si="49">IF(ISERROR(AD76*AF76),"",AD76*AF76)</f>
        <v>0</v>
      </c>
      <c r="AX76" s="125">
        <f t="shared" ref="AX76:AX89" si="50">IF(ISERROR(AE76*AG76),"",AE76*AG76)</f>
        <v>0</v>
      </c>
      <c r="AY76" s="125">
        <f t="shared" ref="AY76:AY89" si="51">IF(ISERROR(AH76*AJ76),"",AH76*AJ76)</f>
        <v>0</v>
      </c>
      <c r="AZ76" s="125">
        <f t="shared" ref="AZ76:AZ89" si="52">IF(ISERROR(AI76*AK76),"",AI76*AK76)</f>
        <v>0</v>
      </c>
      <c r="BA76" s="125" t="str">
        <f t="shared" si="23"/>
        <v/>
      </c>
      <c r="BB76" s="125" t="str">
        <f t="shared" si="24"/>
        <v/>
      </c>
      <c r="BC76" s="125" t="str">
        <f t="shared" ref="BC76:BC89" si="53">IF(AND(BA76="",BB76=""),"",SUM(BA76:BB76))</f>
        <v/>
      </c>
      <c r="BD76" s="143" t="str">
        <f t="shared" ref="BD76:BD89" si="54">IF(ISERROR(SUM(AM76:AZ76)-BC76),"",SUM(AM76:AZ76)-BC76)</f>
        <v/>
      </c>
    </row>
    <row r="77" spans="1:56" x14ac:dyDescent="0.35">
      <c r="A77" s="130">
        <v>3</v>
      </c>
      <c r="B77" s="131" t="str">
        <f>IF(Exploitation!B17="","",Exploitation!B17)</f>
        <v/>
      </c>
      <c r="C77" s="139" t="str">
        <f>IF(Exploitation!$C56="","",Exploitation!$C56)</f>
        <v/>
      </c>
      <c r="D77" s="140" t="str">
        <f>IF(ISERROR(VLOOKUP(C77,'Données d''entrée'!$B$88:$D$91,2,FALSE)),"",VLOOKUP(C77,'Données d''entrée'!$B$88:$D$91,2,FALSE))</f>
        <v/>
      </c>
      <c r="E77" s="140" t="str">
        <f>IF(ISERROR(VLOOKUP(C77,'Données d''entrée'!$B$88:$D$91,3,FALSE)),"",VLOOKUP(C77,'Données d''entrée'!$B$88:$D$91,3,FALSE))</f>
        <v/>
      </c>
      <c r="F77" s="139" t="str">
        <f>IF(Exploitation!$D56="","",Exploitation!$D56)</f>
        <v/>
      </c>
      <c r="G77" s="139" t="str">
        <f>IF(Exploitation!G56="","",Exploitation!G56)</f>
        <v/>
      </c>
      <c r="H77" s="139" t="str">
        <f>IF(Exploitation!H56="","",Exploitation!H56)</f>
        <v/>
      </c>
      <c r="I77" s="358" t="str">
        <f>IF(Exploitation!I56="","",1-Exploitation!I56)</f>
        <v/>
      </c>
      <c r="J77" s="141">
        <f t="shared" si="25"/>
        <v>0</v>
      </c>
      <c r="K77" s="141">
        <f t="shared" si="26"/>
        <v>0</v>
      </c>
      <c r="L77" s="119">
        <f>'Données d''entrée'!$D$354</f>
        <v>0.27</v>
      </c>
      <c r="M77" s="40">
        <f>'Données d''entrée'!$D$357</f>
        <v>0.28000000000000003</v>
      </c>
      <c r="N77" s="141">
        <f t="shared" si="27"/>
        <v>0</v>
      </c>
      <c r="O77" s="141">
        <f t="shared" si="28"/>
        <v>0</v>
      </c>
      <c r="P77" s="119">
        <f>'Données d''entrée'!$E$354</f>
        <v>0.27</v>
      </c>
      <c r="Q77" s="40">
        <f>'Données d''entrée'!$E$357</f>
        <v>0.28000000000000003</v>
      </c>
      <c r="R77" s="141">
        <f t="shared" si="29"/>
        <v>0</v>
      </c>
      <c r="S77" s="141">
        <f t="shared" si="30"/>
        <v>0</v>
      </c>
      <c r="T77" s="119">
        <f>'Données d''entrée'!$F$354</f>
        <v>0.27</v>
      </c>
      <c r="U77" s="40">
        <f>'Données d''entrée'!$F$357</f>
        <v>0.28000000000000003</v>
      </c>
      <c r="V77" s="141">
        <f t="shared" si="31"/>
        <v>0</v>
      </c>
      <c r="W77" s="141">
        <f t="shared" si="32"/>
        <v>0</v>
      </c>
      <c r="X77" s="119">
        <f>'Données d''entrée'!$G$354</f>
        <v>0.25</v>
      </c>
      <c r="Y77" s="40">
        <f>'Données d''entrée'!$G$357</f>
        <v>0.22</v>
      </c>
      <c r="Z77" s="141">
        <f t="shared" si="33"/>
        <v>0</v>
      </c>
      <c r="AA77" s="141">
        <f t="shared" si="34"/>
        <v>0</v>
      </c>
      <c r="AB77" s="119">
        <f>'Données d''entrée'!$H$354</f>
        <v>0.25</v>
      </c>
      <c r="AC77" s="40">
        <f>'Données d''entrée'!$H$357</f>
        <v>0.22</v>
      </c>
      <c r="AD77" s="141">
        <f t="shared" si="35"/>
        <v>0</v>
      </c>
      <c r="AE77" s="141">
        <f t="shared" si="36"/>
        <v>0</v>
      </c>
      <c r="AF77" s="119">
        <f>'Données d''entrée'!$I$354</f>
        <v>0.25</v>
      </c>
      <c r="AG77" s="40">
        <f>'Données d''entrée'!$I$357</f>
        <v>0.22</v>
      </c>
      <c r="AH77" s="141">
        <f t="shared" si="37"/>
        <v>0</v>
      </c>
      <c r="AI77" s="141">
        <f t="shared" si="38"/>
        <v>0</v>
      </c>
      <c r="AJ77" s="119">
        <f>'Données d''entrée'!$J$354</f>
        <v>0.25</v>
      </c>
      <c r="AK77" s="40">
        <f>'Données d''entrée'!$J$357</f>
        <v>0.22</v>
      </c>
      <c r="AM77" s="125">
        <f t="shared" si="39"/>
        <v>0</v>
      </c>
      <c r="AN77" s="125">
        <f t="shared" si="40"/>
        <v>0</v>
      </c>
      <c r="AO77" s="125">
        <f t="shared" si="41"/>
        <v>0</v>
      </c>
      <c r="AP77" s="125">
        <f t="shared" si="42"/>
        <v>0</v>
      </c>
      <c r="AQ77" s="125">
        <f t="shared" si="43"/>
        <v>0</v>
      </c>
      <c r="AR77" s="125">
        <f t="shared" si="44"/>
        <v>0</v>
      </c>
      <c r="AS77" s="125">
        <f t="shared" si="45"/>
        <v>0</v>
      </c>
      <c r="AT77" s="125">
        <f t="shared" si="46"/>
        <v>0</v>
      </c>
      <c r="AU77" s="125">
        <f t="shared" si="47"/>
        <v>0</v>
      </c>
      <c r="AV77" s="125">
        <f t="shared" si="48"/>
        <v>0</v>
      </c>
      <c r="AW77" s="125">
        <f t="shared" si="49"/>
        <v>0</v>
      </c>
      <c r="AX77" s="125">
        <f t="shared" si="50"/>
        <v>0</v>
      </c>
      <c r="AY77" s="125">
        <f t="shared" si="51"/>
        <v>0</v>
      </c>
      <c r="AZ77" s="125">
        <f t="shared" si="52"/>
        <v>0</v>
      </c>
      <c r="BA77" s="125" t="str">
        <f t="shared" si="23"/>
        <v/>
      </c>
      <c r="BB77" s="125" t="str">
        <f t="shared" si="24"/>
        <v/>
      </c>
      <c r="BC77" s="125" t="str">
        <f t="shared" si="53"/>
        <v/>
      </c>
      <c r="BD77" s="143" t="str">
        <f t="shared" si="54"/>
        <v/>
      </c>
    </row>
    <row r="78" spans="1:56" x14ac:dyDescent="0.35">
      <c r="A78" s="130">
        <v>4</v>
      </c>
      <c r="B78" s="131" t="str">
        <f>IF(Exploitation!B18="","",Exploitation!B18)</f>
        <v/>
      </c>
      <c r="C78" s="139" t="str">
        <f>IF(Exploitation!$C57="","",Exploitation!$C57)</f>
        <v/>
      </c>
      <c r="D78" s="140" t="str">
        <f>IF(ISERROR(VLOOKUP(C78,'Données d''entrée'!$B$88:$D$91,2,FALSE)),"",VLOOKUP(C78,'Données d''entrée'!$B$88:$D$91,2,FALSE))</f>
        <v/>
      </c>
      <c r="E78" s="140" t="str">
        <f>IF(ISERROR(VLOOKUP(C78,'Données d''entrée'!$B$88:$D$91,3,FALSE)),"",VLOOKUP(C78,'Données d''entrée'!$B$88:$D$91,3,FALSE))</f>
        <v/>
      </c>
      <c r="F78" s="139" t="str">
        <f>IF(Exploitation!$D57="","",Exploitation!$D57)</f>
        <v/>
      </c>
      <c r="G78" s="139" t="str">
        <f>IF(Exploitation!G57="","",Exploitation!G57)</f>
        <v/>
      </c>
      <c r="H78" s="139" t="str">
        <f>IF(Exploitation!H57="","",Exploitation!H57)</f>
        <v/>
      </c>
      <c r="I78" s="358" t="str">
        <f>IF(Exploitation!I57="","",1-Exploitation!I57)</f>
        <v/>
      </c>
      <c r="J78" s="141">
        <f t="shared" si="25"/>
        <v>0</v>
      </c>
      <c r="K78" s="141">
        <f t="shared" si="26"/>
        <v>0</v>
      </c>
      <c r="L78" s="119">
        <f>'Données d''entrée'!$D$354</f>
        <v>0.27</v>
      </c>
      <c r="M78" s="40">
        <f>'Données d''entrée'!$D$357</f>
        <v>0.28000000000000003</v>
      </c>
      <c r="N78" s="141">
        <f t="shared" si="27"/>
        <v>0</v>
      </c>
      <c r="O78" s="141">
        <f t="shared" si="28"/>
        <v>0</v>
      </c>
      <c r="P78" s="119">
        <f>'Données d''entrée'!$E$354</f>
        <v>0.27</v>
      </c>
      <c r="Q78" s="40">
        <f>'Données d''entrée'!$E$357</f>
        <v>0.28000000000000003</v>
      </c>
      <c r="R78" s="141">
        <f t="shared" si="29"/>
        <v>0</v>
      </c>
      <c r="S78" s="141">
        <f t="shared" si="30"/>
        <v>0</v>
      </c>
      <c r="T78" s="119">
        <f>'Données d''entrée'!$F$354</f>
        <v>0.27</v>
      </c>
      <c r="U78" s="40">
        <f>'Données d''entrée'!$F$357</f>
        <v>0.28000000000000003</v>
      </c>
      <c r="V78" s="141">
        <f t="shared" si="31"/>
        <v>0</v>
      </c>
      <c r="W78" s="141">
        <f t="shared" si="32"/>
        <v>0</v>
      </c>
      <c r="X78" s="119">
        <f>'Données d''entrée'!$G$354</f>
        <v>0.25</v>
      </c>
      <c r="Y78" s="40">
        <f>'Données d''entrée'!$G$357</f>
        <v>0.22</v>
      </c>
      <c r="Z78" s="141">
        <f t="shared" si="33"/>
        <v>0</v>
      </c>
      <c r="AA78" s="141">
        <f t="shared" si="34"/>
        <v>0</v>
      </c>
      <c r="AB78" s="119">
        <f>'Données d''entrée'!$H$354</f>
        <v>0.25</v>
      </c>
      <c r="AC78" s="40">
        <f>'Données d''entrée'!$H$357</f>
        <v>0.22</v>
      </c>
      <c r="AD78" s="141">
        <f t="shared" si="35"/>
        <v>0</v>
      </c>
      <c r="AE78" s="141">
        <f t="shared" si="36"/>
        <v>0</v>
      </c>
      <c r="AF78" s="119">
        <f>'Données d''entrée'!$I$354</f>
        <v>0.25</v>
      </c>
      <c r="AG78" s="40">
        <f>'Données d''entrée'!$I$357</f>
        <v>0.22</v>
      </c>
      <c r="AH78" s="141">
        <f t="shared" si="37"/>
        <v>0</v>
      </c>
      <c r="AI78" s="141">
        <f t="shared" si="38"/>
        <v>0</v>
      </c>
      <c r="AJ78" s="119">
        <f>'Données d''entrée'!$J$354</f>
        <v>0.25</v>
      </c>
      <c r="AK78" s="40">
        <f>'Données d''entrée'!$J$357</f>
        <v>0.22</v>
      </c>
      <c r="AM78" s="125">
        <f t="shared" si="39"/>
        <v>0</v>
      </c>
      <c r="AN78" s="125">
        <f t="shared" si="40"/>
        <v>0</v>
      </c>
      <c r="AO78" s="125">
        <f t="shared" si="41"/>
        <v>0</v>
      </c>
      <c r="AP78" s="125">
        <f t="shared" si="42"/>
        <v>0</v>
      </c>
      <c r="AQ78" s="125">
        <f t="shared" si="43"/>
        <v>0</v>
      </c>
      <c r="AR78" s="125">
        <f t="shared" si="44"/>
        <v>0</v>
      </c>
      <c r="AS78" s="125">
        <f t="shared" si="45"/>
        <v>0</v>
      </c>
      <c r="AT78" s="125">
        <f t="shared" si="46"/>
        <v>0</v>
      </c>
      <c r="AU78" s="125">
        <f t="shared" si="47"/>
        <v>0</v>
      </c>
      <c r="AV78" s="125">
        <f t="shared" si="48"/>
        <v>0</v>
      </c>
      <c r="AW78" s="125">
        <f t="shared" si="49"/>
        <v>0</v>
      </c>
      <c r="AX78" s="125">
        <f t="shared" si="50"/>
        <v>0</v>
      </c>
      <c r="AY78" s="125">
        <f t="shared" si="51"/>
        <v>0</v>
      </c>
      <c r="AZ78" s="125">
        <f t="shared" si="52"/>
        <v>0</v>
      </c>
      <c r="BA78" s="125" t="str">
        <f t="shared" si="23"/>
        <v/>
      </c>
      <c r="BB78" s="125" t="str">
        <f t="shared" si="24"/>
        <v/>
      </c>
      <c r="BC78" s="125" t="str">
        <f t="shared" si="53"/>
        <v/>
      </c>
      <c r="BD78" s="143" t="str">
        <f t="shared" si="54"/>
        <v/>
      </c>
    </row>
    <row r="79" spans="1:56" x14ac:dyDescent="0.35">
      <c r="A79" s="130">
        <v>5</v>
      </c>
      <c r="B79" s="131" t="str">
        <f>IF(Exploitation!B19="","",Exploitation!B19)</f>
        <v/>
      </c>
      <c r="C79" s="139" t="str">
        <f>IF(Exploitation!$C58="","",Exploitation!$C58)</f>
        <v/>
      </c>
      <c r="D79" s="140" t="str">
        <f>IF(ISERROR(VLOOKUP(C79,'Données d''entrée'!$B$88:$D$91,2,FALSE)),"",VLOOKUP(C79,'Données d''entrée'!$B$88:$D$91,2,FALSE))</f>
        <v/>
      </c>
      <c r="E79" s="140" t="str">
        <f>IF(ISERROR(VLOOKUP(C79,'Données d''entrée'!$B$88:$D$91,3,FALSE)),"",VLOOKUP(C79,'Données d''entrée'!$B$88:$D$91,3,FALSE))</f>
        <v/>
      </c>
      <c r="F79" s="139" t="str">
        <f>IF(Exploitation!$D58="","",Exploitation!$D58)</f>
        <v/>
      </c>
      <c r="G79" s="139" t="str">
        <f>IF(Exploitation!G58="","",Exploitation!G58)</f>
        <v/>
      </c>
      <c r="H79" s="139" t="str">
        <f>IF(Exploitation!H58="","",Exploitation!H58)</f>
        <v/>
      </c>
      <c r="I79" s="358" t="str">
        <f>IF(Exploitation!I58="","",1-Exploitation!I58)</f>
        <v/>
      </c>
      <c r="J79" s="141">
        <f t="shared" si="25"/>
        <v>0</v>
      </c>
      <c r="K79" s="141">
        <f t="shared" si="26"/>
        <v>0</v>
      </c>
      <c r="L79" s="119">
        <f>'Données d''entrée'!$D$354</f>
        <v>0.27</v>
      </c>
      <c r="M79" s="40">
        <f>'Données d''entrée'!$D$357</f>
        <v>0.28000000000000003</v>
      </c>
      <c r="N79" s="141">
        <f t="shared" si="27"/>
        <v>0</v>
      </c>
      <c r="O79" s="141">
        <f t="shared" si="28"/>
        <v>0</v>
      </c>
      <c r="P79" s="119">
        <f>'Données d''entrée'!$E$354</f>
        <v>0.27</v>
      </c>
      <c r="Q79" s="40">
        <f>'Données d''entrée'!$E$357</f>
        <v>0.28000000000000003</v>
      </c>
      <c r="R79" s="141">
        <f t="shared" si="29"/>
        <v>0</v>
      </c>
      <c r="S79" s="141">
        <f t="shared" si="30"/>
        <v>0</v>
      </c>
      <c r="T79" s="119">
        <f>'Données d''entrée'!$F$354</f>
        <v>0.27</v>
      </c>
      <c r="U79" s="40">
        <f>'Données d''entrée'!$F$357</f>
        <v>0.28000000000000003</v>
      </c>
      <c r="V79" s="141">
        <f t="shared" si="31"/>
        <v>0</v>
      </c>
      <c r="W79" s="141">
        <f t="shared" si="32"/>
        <v>0</v>
      </c>
      <c r="X79" s="119">
        <f>'Données d''entrée'!$G$354</f>
        <v>0.25</v>
      </c>
      <c r="Y79" s="40">
        <f>'Données d''entrée'!$G$357</f>
        <v>0.22</v>
      </c>
      <c r="Z79" s="141">
        <f t="shared" si="33"/>
        <v>0</v>
      </c>
      <c r="AA79" s="141">
        <f t="shared" si="34"/>
        <v>0</v>
      </c>
      <c r="AB79" s="119">
        <f>'Données d''entrée'!$H$354</f>
        <v>0.25</v>
      </c>
      <c r="AC79" s="40">
        <f>'Données d''entrée'!$H$357</f>
        <v>0.22</v>
      </c>
      <c r="AD79" s="141">
        <f t="shared" si="35"/>
        <v>0</v>
      </c>
      <c r="AE79" s="141">
        <f t="shared" si="36"/>
        <v>0</v>
      </c>
      <c r="AF79" s="119">
        <f>'Données d''entrée'!$I$354</f>
        <v>0.25</v>
      </c>
      <c r="AG79" s="40">
        <f>'Données d''entrée'!$I$357</f>
        <v>0.22</v>
      </c>
      <c r="AH79" s="141">
        <f t="shared" si="37"/>
        <v>0</v>
      </c>
      <c r="AI79" s="141">
        <f t="shared" si="38"/>
        <v>0</v>
      </c>
      <c r="AJ79" s="119">
        <f>'Données d''entrée'!$J$354</f>
        <v>0.25</v>
      </c>
      <c r="AK79" s="40">
        <f>'Données d''entrée'!$J$357</f>
        <v>0.22</v>
      </c>
      <c r="AM79" s="125">
        <f t="shared" si="39"/>
        <v>0</v>
      </c>
      <c r="AN79" s="125">
        <f t="shared" si="40"/>
        <v>0</v>
      </c>
      <c r="AO79" s="125">
        <f t="shared" si="41"/>
        <v>0</v>
      </c>
      <c r="AP79" s="125">
        <f t="shared" si="42"/>
        <v>0</v>
      </c>
      <c r="AQ79" s="125">
        <f t="shared" si="43"/>
        <v>0</v>
      </c>
      <c r="AR79" s="125">
        <f t="shared" si="44"/>
        <v>0</v>
      </c>
      <c r="AS79" s="125">
        <f t="shared" si="45"/>
        <v>0</v>
      </c>
      <c r="AT79" s="125">
        <f t="shared" si="46"/>
        <v>0</v>
      </c>
      <c r="AU79" s="125">
        <f t="shared" si="47"/>
        <v>0</v>
      </c>
      <c r="AV79" s="125">
        <f t="shared" si="48"/>
        <v>0</v>
      </c>
      <c r="AW79" s="125">
        <f t="shared" si="49"/>
        <v>0</v>
      </c>
      <c r="AX79" s="125">
        <f t="shared" si="50"/>
        <v>0</v>
      </c>
      <c r="AY79" s="125">
        <f t="shared" si="51"/>
        <v>0</v>
      </c>
      <c r="AZ79" s="125">
        <f t="shared" si="52"/>
        <v>0</v>
      </c>
      <c r="BA79" s="125" t="str">
        <f t="shared" si="23"/>
        <v/>
      </c>
      <c r="BB79" s="125" t="str">
        <f t="shared" si="24"/>
        <v/>
      </c>
      <c r="BC79" s="125" t="str">
        <f t="shared" si="53"/>
        <v/>
      </c>
      <c r="BD79" s="143" t="str">
        <f t="shared" si="54"/>
        <v/>
      </c>
    </row>
    <row r="80" spans="1:56" x14ac:dyDescent="0.35">
      <c r="A80" s="130">
        <v>6</v>
      </c>
      <c r="B80" s="131" t="str">
        <f>IF(Exploitation!B20="","",Exploitation!B20)</f>
        <v/>
      </c>
      <c r="C80" s="139" t="str">
        <f>IF(Exploitation!$C59="","",Exploitation!$C59)</f>
        <v/>
      </c>
      <c r="D80" s="140" t="str">
        <f>IF(ISERROR(VLOOKUP(C80,'Données d''entrée'!$B$88:$D$91,2,FALSE)),"",VLOOKUP(C80,'Données d''entrée'!$B$88:$D$91,2,FALSE))</f>
        <v/>
      </c>
      <c r="E80" s="140" t="str">
        <f>IF(ISERROR(VLOOKUP(C80,'Données d''entrée'!$B$88:$D$91,3,FALSE)),"",VLOOKUP(C80,'Données d''entrée'!$B$88:$D$91,3,FALSE))</f>
        <v/>
      </c>
      <c r="F80" s="139" t="str">
        <f>IF(Exploitation!$D59="","",Exploitation!$D59)</f>
        <v/>
      </c>
      <c r="G80" s="139" t="str">
        <f>IF(Exploitation!G59="","",Exploitation!G59)</f>
        <v/>
      </c>
      <c r="H80" s="139" t="str">
        <f>IF(Exploitation!H59="","",Exploitation!H59)</f>
        <v/>
      </c>
      <c r="I80" s="358" t="str">
        <f>IF(Exploitation!I59="","",1-Exploitation!I59)</f>
        <v/>
      </c>
      <c r="J80" s="141">
        <f t="shared" si="25"/>
        <v>0</v>
      </c>
      <c r="K80" s="141">
        <f t="shared" si="26"/>
        <v>0</v>
      </c>
      <c r="L80" s="119">
        <f>'Données d''entrée'!$D$354</f>
        <v>0.27</v>
      </c>
      <c r="M80" s="40">
        <f>'Données d''entrée'!$D$357</f>
        <v>0.28000000000000003</v>
      </c>
      <c r="N80" s="141">
        <f t="shared" si="27"/>
        <v>0</v>
      </c>
      <c r="O80" s="141">
        <f t="shared" si="28"/>
        <v>0</v>
      </c>
      <c r="P80" s="119">
        <f>'Données d''entrée'!$E$354</f>
        <v>0.27</v>
      </c>
      <c r="Q80" s="40">
        <f>'Données d''entrée'!$E$357</f>
        <v>0.28000000000000003</v>
      </c>
      <c r="R80" s="141">
        <f t="shared" si="29"/>
        <v>0</v>
      </c>
      <c r="S80" s="141">
        <f t="shared" si="30"/>
        <v>0</v>
      </c>
      <c r="T80" s="119">
        <f>'Données d''entrée'!$F$354</f>
        <v>0.27</v>
      </c>
      <c r="U80" s="40">
        <f>'Données d''entrée'!$F$357</f>
        <v>0.28000000000000003</v>
      </c>
      <c r="V80" s="141">
        <f t="shared" si="31"/>
        <v>0</v>
      </c>
      <c r="W80" s="141">
        <f t="shared" si="32"/>
        <v>0</v>
      </c>
      <c r="X80" s="119">
        <f>'Données d''entrée'!$G$354</f>
        <v>0.25</v>
      </c>
      <c r="Y80" s="40">
        <f>'Données d''entrée'!$G$357</f>
        <v>0.22</v>
      </c>
      <c r="Z80" s="141">
        <f t="shared" si="33"/>
        <v>0</v>
      </c>
      <c r="AA80" s="141">
        <f t="shared" si="34"/>
        <v>0</v>
      </c>
      <c r="AB80" s="119">
        <f>'Données d''entrée'!$H$354</f>
        <v>0.25</v>
      </c>
      <c r="AC80" s="40">
        <f>'Données d''entrée'!$H$357</f>
        <v>0.22</v>
      </c>
      <c r="AD80" s="141">
        <f t="shared" si="35"/>
        <v>0</v>
      </c>
      <c r="AE80" s="141">
        <f t="shared" si="36"/>
        <v>0</v>
      </c>
      <c r="AF80" s="119">
        <f>'Données d''entrée'!$I$354</f>
        <v>0.25</v>
      </c>
      <c r="AG80" s="40">
        <f>'Données d''entrée'!$I$357</f>
        <v>0.22</v>
      </c>
      <c r="AH80" s="141">
        <f t="shared" si="37"/>
        <v>0</v>
      </c>
      <c r="AI80" s="141">
        <f t="shared" si="38"/>
        <v>0</v>
      </c>
      <c r="AJ80" s="119">
        <f>'Données d''entrée'!$J$354</f>
        <v>0.25</v>
      </c>
      <c r="AK80" s="40">
        <f>'Données d''entrée'!$J$357</f>
        <v>0.22</v>
      </c>
      <c r="AM80" s="125">
        <f t="shared" si="39"/>
        <v>0</v>
      </c>
      <c r="AN80" s="125">
        <f t="shared" si="40"/>
        <v>0</v>
      </c>
      <c r="AO80" s="125">
        <f t="shared" si="41"/>
        <v>0</v>
      </c>
      <c r="AP80" s="125">
        <f t="shared" si="42"/>
        <v>0</v>
      </c>
      <c r="AQ80" s="125">
        <f t="shared" si="43"/>
        <v>0</v>
      </c>
      <c r="AR80" s="125">
        <f t="shared" si="44"/>
        <v>0</v>
      </c>
      <c r="AS80" s="125">
        <f t="shared" si="45"/>
        <v>0</v>
      </c>
      <c r="AT80" s="125">
        <f t="shared" si="46"/>
        <v>0</v>
      </c>
      <c r="AU80" s="125">
        <f t="shared" si="47"/>
        <v>0</v>
      </c>
      <c r="AV80" s="125">
        <f t="shared" si="48"/>
        <v>0</v>
      </c>
      <c r="AW80" s="125">
        <f t="shared" si="49"/>
        <v>0</v>
      </c>
      <c r="AX80" s="125">
        <f t="shared" si="50"/>
        <v>0</v>
      </c>
      <c r="AY80" s="125">
        <f t="shared" si="51"/>
        <v>0</v>
      </c>
      <c r="AZ80" s="125">
        <f t="shared" si="52"/>
        <v>0</v>
      </c>
      <c r="BA80" s="125" t="str">
        <f t="shared" si="23"/>
        <v/>
      </c>
      <c r="BB80" s="125" t="str">
        <f t="shared" si="24"/>
        <v/>
      </c>
      <c r="BC80" s="125" t="str">
        <f t="shared" si="53"/>
        <v/>
      </c>
      <c r="BD80" s="143" t="str">
        <f t="shared" si="54"/>
        <v/>
      </c>
    </row>
    <row r="81" spans="1:56" x14ac:dyDescent="0.35">
      <c r="A81" s="130">
        <v>7</v>
      </c>
      <c r="B81" s="131" t="str">
        <f>IF(Exploitation!B21="","",Exploitation!B21)</f>
        <v/>
      </c>
      <c r="C81" s="139" t="str">
        <f>IF(Exploitation!$C60="","",Exploitation!$C60)</f>
        <v/>
      </c>
      <c r="D81" s="140" t="str">
        <f>IF(ISERROR(VLOOKUP(C81,'Données d''entrée'!$B$88:$D$91,2,FALSE)),"",VLOOKUP(C81,'Données d''entrée'!$B$88:$D$91,2,FALSE))</f>
        <v/>
      </c>
      <c r="E81" s="140" t="str">
        <f>IF(ISERROR(VLOOKUP(C81,'Données d''entrée'!$B$88:$D$91,3,FALSE)),"",VLOOKUP(C81,'Données d''entrée'!$B$88:$D$91,3,FALSE))</f>
        <v/>
      </c>
      <c r="F81" s="139" t="str">
        <f>IF(Exploitation!$D60="","",Exploitation!$D60)</f>
        <v/>
      </c>
      <c r="G81" s="139" t="str">
        <f>IF(Exploitation!G60="","",Exploitation!G60)</f>
        <v/>
      </c>
      <c r="H81" s="139" t="str">
        <f>IF(Exploitation!H60="","",Exploitation!H60)</f>
        <v/>
      </c>
      <c r="I81" s="358" t="str">
        <f>IF(Exploitation!I60="","",1-Exploitation!I60)</f>
        <v/>
      </c>
      <c r="J81" s="141">
        <f t="shared" si="25"/>
        <v>0</v>
      </c>
      <c r="K81" s="141">
        <f t="shared" si="26"/>
        <v>0</v>
      </c>
      <c r="L81" s="119">
        <f>'Données d''entrée'!$D$354</f>
        <v>0.27</v>
      </c>
      <c r="M81" s="40">
        <f>'Données d''entrée'!$D$357</f>
        <v>0.28000000000000003</v>
      </c>
      <c r="N81" s="141">
        <f t="shared" si="27"/>
        <v>0</v>
      </c>
      <c r="O81" s="141">
        <f t="shared" si="28"/>
        <v>0</v>
      </c>
      <c r="P81" s="119">
        <f>'Données d''entrée'!$E$354</f>
        <v>0.27</v>
      </c>
      <c r="Q81" s="40">
        <f>'Données d''entrée'!$E$357</f>
        <v>0.28000000000000003</v>
      </c>
      <c r="R81" s="141">
        <f t="shared" si="29"/>
        <v>0</v>
      </c>
      <c r="S81" s="141">
        <f t="shared" si="30"/>
        <v>0</v>
      </c>
      <c r="T81" s="119">
        <f>'Données d''entrée'!$F$354</f>
        <v>0.27</v>
      </c>
      <c r="U81" s="40">
        <f>'Données d''entrée'!$F$357</f>
        <v>0.28000000000000003</v>
      </c>
      <c r="V81" s="141">
        <f t="shared" si="31"/>
        <v>0</v>
      </c>
      <c r="W81" s="141">
        <f t="shared" si="32"/>
        <v>0</v>
      </c>
      <c r="X81" s="119">
        <f>'Données d''entrée'!$G$354</f>
        <v>0.25</v>
      </c>
      <c r="Y81" s="40">
        <f>'Données d''entrée'!$G$357</f>
        <v>0.22</v>
      </c>
      <c r="Z81" s="141">
        <f t="shared" si="33"/>
        <v>0</v>
      </c>
      <c r="AA81" s="141">
        <f t="shared" si="34"/>
        <v>0</v>
      </c>
      <c r="AB81" s="119">
        <f>'Données d''entrée'!$H$354</f>
        <v>0.25</v>
      </c>
      <c r="AC81" s="40">
        <f>'Données d''entrée'!$H$357</f>
        <v>0.22</v>
      </c>
      <c r="AD81" s="141">
        <f t="shared" si="35"/>
        <v>0</v>
      </c>
      <c r="AE81" s="141">
        <f t="shared" si="36"/>
        <v>0</v>
      </c>
      <c r="AF81" s="119">
        <f>'Données d''entrée'!$I$354</f>
        <v>0.25</v>
      </c>
      <c r="AG81" s="40">
        <f>'Données d''entrée'!$I$357</f>
        <v>0.22</v>
      </c>
      <c r="AH81" s="141">
        <f t="shared" si="37"/>
        <v>0</v>
      </c>
      <c r="AI81" s="141">
        <f t="shared" si="38"/>
        <v>0</v>
      </c>
      <c r="AJ81" s="119">
        <f>'Données d''entrée'!$J$354</f>
        <v>0.25</v>
      </c>
      <c r="AK81" s="40">
        <f>'Données d''entrée'!$J$357</f>
        <v>0.22</v>
      </c>
      <c r="AM81" s="125">
        <f t="shared" si="39"/>
        <v>0</v>
      </c>
      <c r="AN81" s="125">
        <f t="shared" si="40"/>
        <v>0</v>
      </c>
      <c r="AO81" s="125">
        <f t="shared" si="41"/>
        <v>0</v>
      </c>
      <c r="AP81" s="125">
        <f t="shared" si="42"/>
        <v>0</v>
      </c>
      <c r="AQ81" s="125">
        <f t="shared" si="43"/>
        <v>0</v>
      </c>
      <c r="AR81" s="125">
        <f t="shared" si="44"/>
        <v>0</v>
      </c>
      <c r="AS81" s="125">
        <f t="shared" si="45"/>
        <v>0</v>
      </c>
      <c r="AT81" s="125">
        <f t="shared" si="46"/>
        <v>0</v>
      </c>
      <c r="AU81" s="125">
        <f t="shared" si="47"/>
        <v>0</v>
      </c>
      <c r="AV81" s="125">
        <f t="shared" si="48"/>
        <v>0</v>
      </c>
      <c r="AW81" s="125">
        <f t="shared" si="49"/>
        <v>0</v>
      </c>
      <c r="AX81" s="125">
        <f t="shared" si="50"/>
        <v>0</v>
      </c>
      <c r="AY81" s="125">
        <f t="shared" si="51"/>
        <v>0</v>
      </c>
      <c r="AZ81" s="125">
        <f t="shared" si="52"/>
        <v>0</v>
      </c>
      <c r="BA81" s="125" t="str">
        <f t="shared" si="23"/>
        <v/>
      </c>
      <c r="BB81" s="125" t="str">
        <f t="shared" si="24"/>
        <v/>
      </c>
      <c r="BC81" s="125" t="str">
        <f t="shared" si="53"/>
        <v/>
      </c>
      <c r="BD81" s="143" t="str">
        <f t="shared" si="54"/>
        <v/>
      </c>
    </row>
    <row r="82" spans="1:56" x14ac:dyDescent="0.35">
      <c r="A82" s="130">
        <v>8</v>
      </c>
      <c r="B82" s="131" t="str">
        <f>IF(Exploitation!B22="","",Exploitation!B22)</f>
        <v/>
      </c>
      <c r="C82" s="139" t="str">
        <f>IF(Exploitation!$C61="","",Exploitation!$C61)</f>
        <v/>
      </c>
      <c r="D82" s="140" t="str">
        <f>IF(ISERROR(VLOOKUP(C82,'Données d''entrée'!$B$88:$D$91,2,FALSE)),"",VLOOKUP(C82,'Données d''entrée'!$B$88:$D$91,2,FALSE))</f>
        <v/>
      </c>
      <c r="E82" s="140" t="str">
        <f>IF(ISERROR(VLOOKUP(C82,'Données d''entrée'!$B$88:$D$91,3,FALSE)),"",VLOOKUP(C82,'Données d''entrée'!$B$88:$D$91,3,FALSE))</f>
        <v/>
      </c>
      <c r="F82" s="139" t="str">
        <f>IF(Exploitation!$D61="","",Exploitation!$D61)</f>
        <v/>
      </c>
      <c r="G82" s="139" t="str">
        <f>IF(Exploitation!G61="","",Exploitation!G61)</f>
        <v/>
      </c>
      <c r="H82" s="139" t="str">
        <f>IF(Exploitation!H61="","",Exploitation!H61)</f>
        <v/>
      </c>
      <c r="I82" s="358" t="str">
        <f>IF(Exploitation!I61="","",1-Exploitation!I61)</f>
        <v/>
      </c>
      <c r="J82" s="141">
        <f t="shared" si="25"/>
        <v>0</v>
      </c>
      <c r="K82" s="141">
        <f t="shared" si="26"/>
        <v>0</v>
      </c>
      <c r="L82" s="119">
        <f>'Données d''entrée'!$D$354</f>
        <v>0.27</v>
      </c>
      <c r="M82" s="40">
        <f>'Données d''entrée'!$D$357</f>
        <v>0.28000000000000003</v>
      </c>
      <c r="N82" s="141">
        <f t="shared" si="27"/>
        <v>0</v>
      </c>
      <c r="O82" s="141">
        <f t="shared" si="28"/>
        <v>0</v>
      </c>
      <c r="P82" s="119">
        <f>'Données d''entrée'!$E$354</f>
        <v>0.27</v>
      </c>
      <c r="Q82" s="40">
        <f>'Données d''entrée'!$E$357</f>
        <v>0.28000000000000003</v>
      </c>
      <c r="R82" s="141">
        <f t="shared" si="29"/>
        <v>0</v>
      </c>
      <c r="S82" s="141">
        <f t="shared" si="30"/>
        <v>0</v>
      </c>
      <c r="T82" s="119">
        <f>'Données d''entrée'!$F$354</f>
        <v>0.27</v>
      </c>
      <c r="U82" s="40">
        <f>'Données d''entrée'!$F$357</f>
        <v>0.28000000000000003</v>
      </c>
      <c r="V82" s="141">
        <f t="shared" si="31"/>
        <v>0</v>
      </c>
      <c r="W82" s="141">
        <f t="shared" si="32"/>
        <v>0</v>
      </c>
      <c r="X82" s="119">
        <f>'Données d''entrée'!$G$354</f>
        <v>0.25</v>
      </c>
      <c r="Y82" s="40">
        <f>'Données d''entrée'!$G$357</f>
        <v>0.22</v>
      </c>
      <c r="Z82" s="141">
        <f t="shared" si="33"/>
        <v>0</v>
      </c>
      <c r="AA82" s="141">
        <f t="shared" si="34"/>
        <v>0</v>
      </c>
      <c r="AB82" s="119">
        <f>'Données d''entrée'!$H$354</f>
        <v>0.25</v>
      </c>
      <c r="AC82" s="40">
        <f>'Données d''entrée'!$H$357</f>
        <v>0.22</v>
      </c>
      <c r="AD82" s="141">
        <f t="shared" si="35"/>
        <v>0</v>
      </c>
      <c r="AE82" s="141">
        <f t="shared" si="36"/>
        <v>0</v>
      </c>
      <c r="AF82" s="119">
        <f>'Données d''entrée'!$I$354</f>
        <v>0.25</v>
      </c>
      <c r="AG82" s="40">
        <f>'Données d''entrée'!$I$357</f>
        <v>0.22</v>
      </c>
      <c r="AH82" s="141">
        <f t="shared" si="37"/>
        <v>0</v>
      </c>
      <c r="AI82" s="141">
        <f t="shared" si="38"/>
        <v>0</v>
      </c>
      <c r="AJ82" s="119">
        <f>'Données d''entrée'!$J$354</f>
        <v>0.25</v>
      </c>
      <c r="AK82" s="40">
        <f>'Données d''entrée'!$J$357</f>
        <v>0.22</v>
      </c>
      <c r="AM82" s="125">
        <f t="shared" si="39"/>
        <v>0</v>
      </c>
      <c r="AN82" s="125">
        <f t="shared" si="40"/>
        <v>0</v>
      </c>
      <c r="AO82" s="125">
        <f t="shared" si="41"/>
        <v>0</v>
      </c>
      <c r="AP82" s="125">
        <f t="shared" si="42"/>
        <v>0</v>
      </c>
      <c r="AQ82" s="125">
        <f t="shared" si="43"/>
        <v>0</v>
      </c>
      <c r="AR82" s="125">
        <f t="shared" si="44"/>
        <v>0</v>
      </c>
      <c r="AS82" s="125">
        <f t="shared" si="45"/>
        <v>0</v>
      </c>
      <c r="AT82" s="125">
        <f t="shared" si="46"/>
        <v>0</v>
      </c>
      <c r="AU82" s="125">
        <f t="shared" si="47"/>
        <v>0</v>
      </c>
      <c r="AV82" s="125">
        <f t="shared" si="48"/>
        <v>0</v>
      </c>
      <c r="AW82" s="125">
        <f t="shared" si="49"/>
        <v>0</v>
      </c>
      <c r="AX82" s="125">
        <f t="shared" si="50"/>
        <v>0</v>
      </c>
      <c r="AY82" s="125">
        <f t="shared" si="51"/>
        <v>0</v>
      </c>
      <c r="AZ82" s="125">
        <f t="shared" si="52"/>
        <v>0</v>
      </c>
      <c r="BA82" s="125" t="str">
        <f t="shared" si="23"/>
        <v/>
      </c>
      <c r="BB82" s="125" t="str">
        <f t="shared" si="24"/>
        <v/>
      </c>
      <c r="BC82" s="125" t="str">
        <f t="shared" si="53"/>
        <v/>
      </c>
      <c r="BD82" s="143" t="str">
        <f t="shared" si="54"/>
        <v/>
      </c>
    </row>
    <row r="83" spans="1:56" x14ac:dyDescent="0.35">
      <c r="A83" s="130">
        <v>9</v>
      </c>
      <c r="B83" s="131" t="str">
        <f>IF(Exploitation!B23="","",Exploitation!B23)</f>
        <v/>
      </c>
      <c r="C83" s="139" t="str">
        <f>IF(Exploitation!$C62="","",Exploitation!$C62)</f>
        <v/>
      </c>
      <c r="D83" s="140" t="str">
        <f>IF(ISERROR(VLOOKUP(C83,'Données d''entrée'!$B$88:$D$91,2,FALSE)),"",VLOOKUP(C83,'Données d''entrée'!$B$88:$D$91,2,FALSE))</f>
        <v/>
      </c>
      <c r="E83" s="140" t="str">
        <f>IF(ISERROR(VLOOKUP(C83,'Données d''entrée'!$B$88:$D$91,3,FALSE)),"",VLOOKUP(C83,'Données d''entrée'!$B$88:$D$91,3,FALSE))</f>
        <v/>
      </c>
      <c r="F83" s="139" t="str">
        <f>IF(Exploitation!$D62="","",Exploitation!$D62)</f>
        <v/>
      </c>
      <c r="G83" s="139" t="str">
        <f>IF(Exploitation!G62="","",Exploitation!G62)</f>
        <v/>
      </c>
      <c r="H83" s="139" t="str">
        <f>IF(Exploitation!H62="","",Exploitation!H62)</f>
        <v/>
      </c>
      <c r="I83" s="358" t="str">
        <f>IF(Exploitation!I62="","",1-Exploitation!I62)</f>
        <v/>
      </c>
      <c r="J83" s="141">
        <f t="shared" si="25"/>
        <v>0</v>
      </c>
      <c r="K83" s="141">
        <f t="shared" si="26"/>
        <v>0</v>
      </c>
      <c r="L83" s="119">
        <f>'Données d''entrée'!$D$354</f>
        <v>0.27</v>
      </c>
      <c r="M83" s="40">
        <f>'Données d''entrée'!$D$357</f>
        <v>0.28000000000000003</v>
      </c>
      <c r="N83" s="141">
        <f t="shared" si="27"/>
        <v>0</v>
      </c>
      <c r="O83" s="141">
        <f t="shared" si="28"/>
        <v>0</v>
      </c>
      <c r="P83" s="119">
        <f>'Données d''entrée'!$E$354</f>
        <v>0.27</v>
      </c>
      <c r="Q83" s="40">
        <f>'Données d''entrée'!$E$357</f>
        <v>0.28000000000000003</v>
      </c>
      <c r="R83" s="141">
        <f t="shared" si="29"/>
        <v>0</v>
      </c>
      <c r="S83" s="141">
        <f t="shared" si="30"/>
        <v>0</v>
      </c>
      <c r="T83" s="119">
        <f>'Données d''entrée'!$F$354</f>
        <v>0.27</v>
      </c>
      <c r="U83" s="40">
        <f>'Données d''entrée'!$F$357</f>
        <v>0.28000000000000003</v>
      </c>
      <c r="V83" s="141">
        <f t="shared" si="31"/>
        <v>0</v>
      </c>
      <c r="W83" s="141">
        <f t="shared" si="32"/>
        <v>0</v>
      </c>
      <c r="X83" s="119">
        <f>'Données d''entrée'!$G$354</f>
        <v>0.25</v>
      </c>
      <c r="Y83" s="40">
        <f>'Données d''entrée'!$G$357</f>
        <v>0.22</v>
      </c>
      <c r="Z83" s="141">
        <f t="shared" si="33"/>
        <v>0</v>
      </c>
      <c r="AA83" s="141">
        <f t="shared" si="34"/>
        <v>0</v>
      </c>
      <c r="AB83" s="119">
        <f>'Données d''entrée'!$H$354</f>
        <v>0.25</v>
      </c>
      <c r="AC83" s="40">
        <f>'Données d''entrée'!$H$357</f>
        <v>0.22</v>
      </c>
      <c r="AD83" s="141">
        <f t="shared" si="35"/>
        <v>0</v>
      </c>
      <c r="AE83" s="141">
        <f t="shared" si="36"/>
        <v>0</v>
      </c>
      <c r="AF83" s="119">
        <f>'Données d''entrée'!$I$354</f>
        <v>0.25</v>
      </c>
      <c r="AG83" s="40">
        <f>'Données d''entrée'!$I$357</f>
        <v>0.22</v>
      </c>
      <c r="AH83" s="141">
        <f t="shared" si="37"/>
        <v>0</v>
      </c>
      <c r="AI83" s="141">
        <f t="shared" si="38"/>
        <v>0</v>
      </c>
      <c r="AJ83" s="119">
        <f>'Données d''entrée'!$J$354</f>
        <v>0.25</v>
      </c>
      <c r="AK83" s="40">
        <f>'Données d''entrée'!$J$357</f>
        <v>0.22</v>
      </c>
      <c r="AM83" s="125">
        <f t="shared" si="39"/>
        <v>0</v>
      </c>
      <c r="AN83" s="125">
        <f t="shared" si="40"/>
        <v>0</v>
      </c>
      <c r="AO83" s="125">
        <f t="shared" si="41"/>
        <v>0</v>
      </c>
      <c r="AP83" s="125">
        <f t="shared" si="42"/>
        <v>0</v>
      </c>
      <c r="AQ83" s="125">
        <f t="shared" si="43"/>
        <v>0</v>
      </c>
      <c r="AR83" s="125">
        <f t="shared" si="44"/>
        <v>0</v>
      </c>
      <c r="AS83" s="125">
        <f t="shared" si="45"/>
        <v>0</v>
      </c>
      <c r="AT83" s="125">
        <f t="shared" si="46"/>
        <v>0</v>
      </c>
      <c r="AU83" s="125">
        <f t="shared" si="47"/>
        <v>0</v>
      </c>
      <c r="AV83" s="125">
        <f t="shared" si="48"/>
        <v>0</v>
      </c>
      <c r="AW83" s="125">
        <f t="shared" si="49"/>
        <v>0</v>
      </c>
      <c r="AX83" s="125">
        <f t="shared" si="50"/>
        <v>0</v>
      </c>
      <c r="AY83" s="125">
        <f t="shared" si="51"/>
        <v>0</v>
      </c>
      <c r="AZ83" s="125">
        <f t="shared" si="52"/>
        <v>0</v>
      </c>
      <c r="BA83" s="125" t="str">
        <f t="shared" si="23"/>
        <v/>
      </c>
      <c r="BB83" s="125" t="str">
        <f t="shared" si="24"/>
        <v/>
      </c>
      <c r="BC83" s="125" t="str">
        <f t="shared" si="53"/>
        <v/>
      </c>
      <c r="BD83" s="143" t="str">
        <f t="shared" si="54"/>
        <v/>
      </c>
    </row>
    <row r="84" spans="1:56" x14ac:dyDescent="0.35">
      <c r="A84" s="130">
        <v>10</v>
      </c>
      <c r="B84" s="131" t="str">
        <f>IF(Exploitation!B24="","",Exploitation!B24)</f>
        <v/>
      </c>
      <c r="C84" s="139" t="str">
        <f>IF(Exploitation!$C63="","",Exploitation!$C63)</f>
        <v/>
      </c>
      <c r="D84" s="140" t="str">
        <f>IF(ISERROR(VLOOKUP(C84,'Données d''entrée'!$B$88:$D$91,2,FALSE)),"",VLOOKUP(C84,'Données d''entrée'!$B$88:$D$91,2,FALSE))</f>
        <v/>
      </c>
      <c r="E84" s="140" t="str">
        <f>IF(ISERROR(VLOOKUP(C84,'Données d''entrée'!$B$88:$D$91,3,FALSE)),"",VLOOKUP(C84,'Données d''entrée'!$B$88:$D$91,3,FALSE))</f>
        <v/>
      </c>
      <c r="F84" s="139" t="str">
        <f>IF(Exploitation!$D63="","",Exploitation!$D63)</f>
        <v/>
      </c>
      <c r="G84" s="139" t="str">
        <f>IF(Exploitation!G63="","",Exploitation!G63)</f>
        <v/>
      </c>
      <c r="H84" s="139" t="str">
        <f>IF(Exploitation!H63="","",Exploitation!H63)</f>
        <v/>
      </c>
      <c r="I84" s="358" t="str">
        <f>IF(Exploitation!I63="","",1-Exploitation!I63)</f>
        <v/>
      </c>
      <c r="J84" s="141">
        <f t="shared" si="25"/>
        <v>0</v>
      </c>
      <c r="K84" s="141">
        <f t="shared" si="26"/>
        <v>0</v>
      </c>
      <c r="L84" s="119">
        <f>'Données d''entrée'!$D$354</f>
        <v>0.27</v>
      </c>
      <c r="M84" s="40">
        <f>'Données d''entrée'!$D$357</f>
        <v>0.28000000000000003</v>
      </c>
      <c r="N84" s="141">
        <f t="shared" si="27"/>
        <v>0</v>
      </c>
      <c r="O84" s="141">
        <f t="shared" si="28"/>
        <v>0</v>
      </c>
      <c r="P84" s="119">
        <f>'Données d''entrée'!$E$354</f>
        <v>0.27</v>
      </c>
      <c r="Q84" s="40">
        <f>'Données d''entrée'!$E$357</f>
        <v>0.28000000000000003</v>
      </c>
      <c r="R84" s="141">
        <f t="shared" si="29"/>
        <v>0</v>
      </c>
      <c r="S84" s="141">
        <f t="shared" si="30"/>
        <v>0</v>
      </c>
      <c r="T84" s="119">
        <f>'Données d''entrée'!$F$354</f>
        <v>0.27</v>
      </c>
      <c r="U84" s="40">
        <f>'Données d''entrée'!$F$357</f>
        <v>0.28000000000000003</v>
      </c>
      <c r="V84" s="141">
        <f t="shared" si="31"/>
        <v>0</v>
      </c>
      <c r="W84" s="141">
        <f t="shared" si="32"/>
        <v>0</v>
      </c>
      <c r="X84" s="119">
        <f>'Données d''entrée'!$G$354</f>
        <v>0.25</v>
      </c>
      <c r="Y84" s="40">
        <f>'Données d''entrée'!$G$357</f>
        <v>0.22</v>
      </c>
      <c r="Z84" s="141">
        <f t="shared" si="33"/>
        <v>0</v>
      </c>
      <c r="AA84" s="141">
        <f t="shared" si="34"/>
        <v>0</v>
      </c>
      <c r="AB84" s="119">
        <f>'Données d''entrée'!$H$354</f>
        <v>0.25</v>
      </c>
      <c r="AC84" s="40">
        <f>'Données d''entrée'!$H$357</f>
        <v>0.22</v>
      </c>
      <c r="AD84" s="141">
        <f t="shared" si="35"/>
        <v>0</v>
      </c>
      <c r="AE84" s="141">
        <f t="shared" si="36"/>
        <v>0</v>
      </c>
      <c r="AF84" s="119">
        <f>'Données d''entrée'!$I$354</f>
        <v>0.25</v>
      </c>
      <c r="AG84" s="40">
        <f>'Données d''entrée'!$I$357</f>
        <v>0.22</v>
      </c>
      <c r="AH84" s="141">
        <f t="shared" si="37"/>
        <v>0</v>
      </c>
      <c r="AI84" s="141">
        <f t="shared" si="38"/>
        <v>0</v>
      </c>
      <c r="AJ84" s="119">
        <f>'Données d''entrée'!$J$354</f>
        <v>0.25</v>
      </c>
      <c r="AK84" s="40">
        <f>'Données d''entrée'!$J$357</f>
        <v>0.22</v>
      </c>
      <c r="AM84" s="125">
        <f t="shared" si="39"/>
        <v>0</v>
      </c>
      <c r="AN84" s="125">
        <f t="shared" si="40"/>
        <v>0</v>
      </c>
      <c r="AO84" s="125">
        <f t="shared" si="41"/>
        <v>0</v>
      </c>
      <c r="AP84" s="125">
        <f t="shared" si="42"/>
        <v>0</v>
      </c>
      <c r="AQ84" s="125">
        <f t="shared" si="43"/>
        <v>0</v>
      </c>
      <c r="AR84" s="125">
        <f t="shared" si="44"/>
        <v>0</v>
      </c>
      <c r="AS84" s="125">
        <f t="shared" si="45"/>
        <v>0</v>
      </c>
      <c r="AT84" s="125">
        <f t="shared" si="46"/>
        <v>0</v>
      </c>
      <c r="AU84" s="125">
        <f t="shared" si="47"/>
        <v>0</v>
      </c>
      <c r="AV84" s="125">
        <f t="shared" si="48"/>
        <v>0</v>
      </c>
      <c r="AW84" s="125">
        <f t="shared" si="49"/>
        <v>0</v>
      </c>
      <c r="AX84" s="125">
        <f t="shared" si="50"/>
        <v>0</v>
      </c>
      <c r="AY84" s="125">
        <f t="shared" si="51"/>
        <v>0</v>
      </c>
      <c r="AZ84" s="125">
        <f t="shared" si="52"/>
        <v>0</v>
      </c>
      <c r="BA84" s="125" t="str">
        <f t="shared" si="23"/>
        <v/>
      </c>
      <c r="BB84" s="125" t="str">
        <f t="shared" si="24"/>
        <v/>
      </c>
      <c r="BC84" s="125" t="str">
        <f t="shared" si="53"/>
        <v/>
      </c>
      <c r="BD84" s="143" t="str">
        <f t="shared" si="54"/>
        <v/>
      </c>
    </row>
    <row r="85" spans="1:56" x14ac:dyDescent="0.35">
      <c r="A85" s="130">
        <v>11</v>
      </c>
      <c r="B85" s="131" t="str">
        <f>IF(Exploitation!B25="","",Exploitation!B25)</f>
        <v/>
      </c>
      <c r="C85" s="139" t="str">
        <f>IF(Exploitation!$C64="","",Exploitation!$C64)</f>
        <v/>
      </c>
      <c r="D85" s="140" t="str">
        <f>IF(ISERROR(VLOOKUP(C85,'Données d''entrée'!$B$88:$D$91,2,FALSE)),"",VLOOKUP(C85,'Données d''entrée'!$B$88:$D$91,2,FALSE))</f>
        <v/>
      </c>
      <c r="E85" s="140" t="str">
        <f>IF(ISERROR(VLOOKUP(C85,'Données d''entrée'!$B$88:$D$91,3,FALSE)),"",VLOOKUP(C85,'Données d''entrée'!$B$88:$D$91,3,FALSE))</f>
        <v/>
      </c>
      <c r="F85" s="139" t="str">
        <f>IF(Exploitation!$D64="","",Exploitation!$D64)</f>
        <v/>
      </c>
      <c r="G85" s="139" t="str">
        <f>IF(Exploitation!G64="","",Exploitation!G64)</f>
        <v/>
      </c>
      <c r="H85" s="139" t="str">
        <f>IF(Exploitation!H64="","",Exploitation!H64)</f>
        <v/>
      </c>
      <c r="I85" s="358" t="str">
        <f>IF(Exploitation!I64="","",1-Exploitation!I64)</f>
        <v/>
      </c>
      <c r="J85" s="141">
        <f t="shared" si="25"/>
        <v>0</v>
      </c>
      <c r="K85" s="141">
        <f t="shared" si="26"/>
        <v>0</v>
      </c>
      <c r="L85" s="119">
        <f>'Données d''entrée'!$D$354</f>
        <v>0.27</v>
      </c>
      <c r="M85" s="40">
        <f>'Données d''entrée'!$D$357</f>
        <v>0.28000000000000003</v>
      </c>
      <c r="N85" s="141">
        <f t="shared" si="27"/>
        <v>0</v>
      </c>
      <c r="O85" s="141">
        <f t="shared" si="28"/>
        <v>0</v>
      </c>
      <c r="P85" s="119">
        <f>'Données d''entrée'!$E$354</f>
        <v>0.27</v>
      </c>
      <c r="Q85" s="40">
        <f>'Données d''entrée'!$E$357</f>
        <v>0.28000000000000003</v>
      </c>
      <c r="R85" s="141">
        <f t="shared" si="29"/>
        <v>0</v>
      </c>
      <c r="S85" s="141">
        <f t="shared" si="30"/>
        <v>0</v>
      </c>
      <c r="T85" s="119">
        <f>'Données d''entrée'!$F$354</f>
        <v>0.27</v>
      </c>
      <c r="U85" s="40">
        <f>'Données d''entrée'!$F$357</f>
        <v>0.28000000000000003</v>
      </c>
      <c r="V85" s="141">
        <f t="shared" si="31"/>
        <v>0</v>
      </c>
      <c r="W85" s="141">
        <f t="shared" si="32"/>
        <v>0</v>
      </c>
      <c r="X85" s="119">
        <f>'Données d''entrée'!$G$354</f>
        <v>0.25</v>
      </c>
      <c r="Y85" s="40">
        <f>'Données d''entrée'!$G$357</f>
        <v>0.22</v>
      </c>
      <c r="Z85" s="141">
        <f t="shared" si="33"/>
        <v>0</v>
      </c>
      <c r="AA85" s="141">
        <f t="shared" si="34"/>
        <v>0</v>
      </c>
      <c r="AB85" s="119">
        <f>'Données d''entrée'!$H$354</f>
        <v>0.25</v>
      </c>
      <c r="AC85" s="40">
        <f>'Données d''entrée'!$H$357</f>
        <v>0.22</v>
      </c>
      <c r="AD85" s="141">
        <f t="shared" si="35"/>
        <v>0</v>
      </c>
      <c r="AE85" s="141">
        <f t="shared" si="36"/>
        <v>0</v>
      </c>
      <c r="AF85" s="119">
        <f>'Données d''entrée'!$I$354</f>
        <v>0.25</v>
      </c>
      <c r="AG85" s="40">
        <f>'Données d''entrée'!$I$357</f>
        <v>0.22</v>
      </c>
      <c r="AH85" s="141">
        <f t="shared" si="37"/>
        <v>0</v>
      </c>
      <c r="AI85" s="141">
        <f t="shared" si="38"/>
        <v>0</v>
      </c>
      <c r="AJ85" s="119">
        <f>'Données d''entrée'!$J$354</f>
        <v>0.25</v>
      </c>
      <c r="AK85" s="40">
        <f>'Données d''entrée'!$J$357</f>
        <v>0.22</v>
      </c>
      <c r="AM85" s="125">
        <f t="shared" si="39"/>
        <v>0</v>
      </c>
      <c r="AN85" s="125">
        <f t="shared" si="40"/>
        <v>0</v>
      </c>
      <c r="AO85" s="125">
        <f t="shared" si="41"/>
        <v>0</v>
      </c>
      <c r="AP85" s="125">
        <f t="shared" si="42"/>
        <v>0</v>
      </c>
      <c r="AQ85" s="125">
        <f t="shared" si="43"/>
        <v>0</v>
      </c>
      <c r="AR85" s="125">
        <f t="shared" si="44"/>
        <v>0</v>
      </c>
      <c r="AS85" s="125">
        <f t="shared" si="45"/>
        <v>0</v>
      </c>
      <c r="AT85" s="125">
        <f t="shared" si="46"/>
        <v>0</v>
      </c>
      <c r="AU85" s="125">
        <f t="shared" si="47"/>
        <v>0</v>
      </c>
      <c r="AV85" s="125">
        <f t="shared" si="48"/>
        <v>0</v>
      </c>
      <c r="AW85" s="125">
        <f t="shared" si="49"/>
        <v>0</v>
      </c>
      <c r="AX85" s="125">
        <f t="shared" si="50"/>
        <v>0</v>
      </c>
      <c r="AY85" s="125">
        <f t="shared" si="51"/>
        <v>0</v>
      </c>
      <c r="AZ85" s="125">
        <f t="shared" si="52"/>
        <v>0</v>
      </c>
      <c r="BA85" s="125" t="str">
        <f t="shared" si="23"/>
        <v/>
      </c>
      <c r="BB85" s="125" t="str">
        <f t="shared" si="24"/>
        <v/>
      </c>
      <c r="BC85" s="125" t="str">
        <f t="shared" si="53"/>
        <v/>
      </c>
      <c r="BD85" s="143" t="str">
        <f t="shared" si="54"/>
        <v/>
      </c>
    </row>
    <row r="86" spans="1:56" x14ac:dyDescent="0.35">
      <c r="A86" s="130">
        <v>12</v>
      </c>
      <c r="B86" s="131" t="str">
        <f>IF(Exploitation!B26="","",Exploitation!B26)</f>
        <v/>
      </c>
      <c r="C86" s="139" t="str">
        <f>IF(Exploitation!$C65="","",Exploitation!$C65)</f>
        <v/>
      </c>
      <c r="D86" s="140" t="str">
        <f>IF(ISERROR(VLOOKUP(C86,'Données d''entrée'!$B$88:$D$91,2,FALSE)),"",VLOOKUP(C86,'Données d''entrée'!$B$88:$D$91,2,FALSE))</f>
        <v/>
      </c>
      <c r="E86" s="140" t="str">
        <f>IF(ISERROR(VLOOKUP(C86,'Données d''entrée'!$B$88:$D$91,3,FALSE)),"",VLOOKUP(C86,'Données d''entrée'!$B$88:$D$91,3,FALSE))</f>
        <v/>
      </c>
      <c r="F86" s="139" t="str">
        <f>IF(Exploitation!$D65="","",Exploitation!$D65)</f>
        <v/>
      </c>
      <c r="G86" s="139" t="str">
        <f>IF(Exploitation!G65="","",Exploitation!G65)</f>
        <v/>
      </c>
      <c r="H86" s="139" t="str">
        <f>IF(Exploitation!H65="","",Exploitation!H65)</f>
        <v/>
      </c>
      <c r="I86" s="358" t="str">
        <f>IF(Exploitation!I65="","",1-Exploitation!I65)</f>
        <v/>
      </c>
      <c r="J86" s="141">
        <f t="shared" si="25"/>
        <v>0</v>
      </c>
      <c r="K86" s="141">
        <f t="shared" si="26"/>
        <v>0</v>
      </c>
      <c r="L86" s="119">
        <f>'Données d''entrée'!$D$354</f>
        <v>0.27</v>
      </c>
      <c r="M86" s="40">
        <f>'Données d''entrée'!$D$357</f>
        <v>0.28000000000000003</v>
      </c>
      <c r="N86" s="141">
        <f t="shared" si="27"/>
        <v>0</v>
      </c>
      <c r="O86" s="141">
        <f t="shared" si="28"/>
        <v>0</v>
      </c>
      <c r="P86" s="119">
        <f>'Données d''entrée'!$E$354</f>
        <v>0.27</v>
      </c>
      <c r="Q86" s="40">
        <f>'Données d''entrée'!$E$357</f>
        <v>0.28000000000000003</v>
      </c>
      <c r="R86" s="141">
        <f t="shared" si="29"/>
        <v>0</v>
      </c>
      <c r="S86" s="141">
        <f t="shared" si="30"/>
        <v>0</v>
      </c>
      <c r="T86" s="119">
        <f>'Données d''entrée'!$F$354</f>
        <v>0.27</v>
      </c>
      <c r="U86" s="40">
        <f>'Données d''entrée'!$F$357</f>
        <v>0.28000000000000003</v>
      </c>
      <c r="V86" s="141">
        <f t="shared" si="31"/>
        <v>0</v>
      </c>
      <c r="W86" s="141">
        <f t="shared" si="32"/>
        <v>0</v>
      </c>
      <c r="X86" s="119">
        <f>'Données d''entrée'!$G$354</f>
        <v>0.25</v>
      </c>
      <c r="Y86" s="40">
        <f>'Données d''entrée'!$G$357</f>
        <v>0.22</v>
      </c>
      <c r="Z86" s="141">
        <f t="shared" si="33"/>
        <v>0</v>
      </c>
      <c r="AA86" s="141">
        <f t="shared" si="34"/>
        <v>0</v>
      </c>
      <c r="AB86" s="119">
        <f>'Données d''entrée'!$H$354</f>
        <v>0.25</v>
      </c>
      <c r="AC86" s="40">
        <f>'Données d''entrée'!$H$357</f>
        <v>0.22</v>
      </c>
      <c r="AD86" s="141">
        <f t="shared" si="35"/>
        <v>0</v>
      </c>
      <c r="AE86" s="141">
        <f t="shared" si="36"/>
        <v>0</v>
      </c>
      <c r="AF86" s="119">
        <f>'Données d''entrée'!$I$354</f>
        <v>0.25</v>
      </c>
      <c r="AG86" s="40">
        <f>'Données d''entrée'!$I$357</f>
        <v>0.22</v>
      </c>
      <c r="AH86" s="141">
        <f t="shared" si="37"/>
        <v>0</v>
      </c>
      <c r="AI86" s="141">
        <f t="shared" si="38"/>
        <v>0</v>
      </c>
      <c r="AJ86" s="119">
        <f>'Données d''entrée'!$J$354</f>
        <v>0.25</v>
      </c>
      <c r="AK86" s="40">
        <f>'Données d''entrée'!$J$357</f>
        <v>0.22</v>
      </c>
      <c r="AM86" s="125">
        <f t="shared" si="39"/>
        <v>0</v>
      </c>
      <c r="AN86" s="125">
        <f t="shared" si="40"/>
        <v>0</v>
      </c>
      <c r="AO86" s="125">
        <f t="shared" si="41"/>
        <v>0</v>
      </c>
      <c r="AP86" s="125">
        <f t="shared" si="42"/>
        <v>0</v>
      </c>
      <c r="AQ86" s="125">
        <f t="shared" si="43"/>
        <v>0</v>
      </c>
      <c r="AR86" s="125">
        <f t="shared" si="44"/>
        <v>0</v>
      </c>
      <c r="AS86" s="125">
        <f t="shared" si="45"/>
        <v>0</v>
      </c>
      <c r="AT86" s="125">
        <f t="shared" si="46"/>
        <v>0</v>
      </c>
      <c r="AU86" s="125">
        <f t="shared" si="47"/>
        <v>0</v>
      </c>
      <c r="AV86" s="125">
        <f t="shared" si="48"/>
        <v>0</v>
      </c>
      <c r="AW86" s="125">
        <f t="shared" si="49"/>
        <v>0</v>
      </c>
      <c r="AX86" s="125">
        <f t="shared" si="50"/>
        <v>0</v>
      </c>
      <c r="AY86" s="125">
        <f t="shared" si="51"/>
        <v>0</v>
      </c>
      <c r="AZ86" s="125">
        <f t="shared" si="52"/>
        <v>0</v>
      </c>
      <c r="BA86" s="125" t="str">
        <f t="shared" si="23"/>
        <v/>
      </c>
      <c r="BB86" s="125" t="str">
        <f t="shared" si="24"/>
        <v/>
      </c>
      <c r="BC86" s="125" t="str">
        <f t="shared" si="53"/>
        <v/>
      </c>
      <c r="BD86" s="143" t="str">
        <f t="shared" si="54"/>
        <v/>
      </c>
    </row>
    <row r="87" spans="1:56" x14ac:dyDescent="0.35">
      <c r="A87" s="130">
        <v>13</v>
      </c>
      <c r="B87" s="131" t="str">
        <f>IF(Exploitation!B27="","",Exploitation!B27)</f>
        <v/>
      </c>
      <c r="C87" s="139" t="str">
        <f>IF(Exploitation!$C66="","",Exploitation!$C66)</f>
        <v/>
      </c>
      <c r="D87" s="140" t="str">
        <f>IF(ISERROR(VLOOKUP(C87,'Données d''entrée'!$B$88:$D$91,2,FALSE)),"",VLOOKUP(C87,'Données d''entrée'!$B$88:$D$91,2,FALSE))</f>
        <v/>
      </c>
      <c r="E87" s="140" t="str">
        <f>IF(ISERROR(VLOOKUP(C87,'Données d''entrée'!$B$88:$D$91,3,FALSE)),"",VLOOKUP(C87,'Données d''entrée'!$B$88:$D$91,3,FALSE))</f>
        <v/>
      </c>
      <c r="F87" s="139" t="str">
        <f>IF(Exploitation!$D66="","",Exploitation!$D66)</f>
        <v/>
      </c>
      <c r="G87" s="139" t="str">
        <f>IF(Exploitation!G66="","",Exploitation!G66)</f>
        <v/>
      </c>
      <c r="H87" s="139" t="str">
        <f>IF(Exploitation!H66="","",Exploitation!H66)</f>
        <v/>
      </c>
      <c r="I87" s="358" t="str">
        <f>IF(Exploitation!I66="","",1-Exploitation!I66)</f>
        <v/>
      </c>
      <c r="J87" s="141">
        <f t="shared" si="25"/>
        <v>0</v>
      </c>
      <c r="K87" s="141">
        <f t="shared" si="26"/>
        <v>0</v>
      </c>
      <c r="L87" s="119">
        <f>'Données d''entrée'!$D$354</f>
        <v>0.27</v>
      </c>
      <c r="M87" s="40">
        <f>'Données d''entrée'!$D$357</f>
        <v>0.28000000000000003</v>
      </c>
      <c r="N87" s="141">
        <f t="shared" si="27"/>
        <v>0</v>
      </c>
      <c r="O87" s="141">
        <f t="shared" si="28"/>
        <v>0</v>
      </c>
      <c r="P87" s="119">
        <f>'Données d''entrée'!$E$354</f>
        <v>0.27</v>
      </c>
      <c r="Q87" s="40">
        <f>'Données d''entrée'!$E$357</f>
        <v>0.28000000000000003</v>
      </c>
      <c r="R87" s="141">
        <f t="shared" si="29"/>
        <v>0</v>
      </c>
      <c r="S87" s="141">
        <f t="shared" si="30"/>
        <v>0</v>
      </c>
      <c r="T87" s="119">
        <f>'Données d''entrée'!$F$354</f>
        <v>0.27</v>
      </c>
      <c r="U87" s="40">
        <f>'Données d''entrée'!$F$357</f>
        <v>0.28000000000000003</v>
      </c>
      <c r="V87" s="141">
        <f t="shared" si="31"/>
        <v>0</v>
      </c>
      <c r="W87" s="141">
        <f t="shared" si="32"/>
        <v>0</v>
      </c>
      <c r="X87" s="119">
        <f>'Données d''entrée'!$G$354</f>
        <v>0.25</v>
      </c>
      <c r="Y87" s="40">
        <f>'Données d''entrée'!$G$357</f>
        <v>0.22</v>
      </c>
      <c r="Z87" s="141">
        <f t="shared" si="33"/>
        <v>0</v>
      </c>
      <c r="AA87" s="141">
        <f t="shared" si="34"/>
        <v>0</v>
      </c>
      <c r="AB87" s="119">
        <f>'Données d''entrée'!$H$354</f>
        <v>0.25</v>
      </c>
      <c r="AC87" s="40">
        <f>'Données d''entrée'!$H$357</f>
        <v>0.22</v>
      </c>
      <c r="AD87" s="141">
        <f t="shared" si="35"/>
        <v>0</v>
      </c>
      <c r="AE87" s="141">
        <f t="shared" si="36"/>
        <v>0</v>
      </c>
      <c r="AF87" s="119">
        <f>'Données d''entrée'!$I$354</f>
        <v>0.25</v>
      </c>
      <c r="AG87" s="40">
        <f>'Données d''entrée'!$I$357</f>
        <v>0.22</v>
      </c>
      <c r="AH87" s="141">
        <f t="shared" si="37"/>
        <v>0</v>
      </c>
      <c r="AI87" s="141">
        <f t="shared" si="38"/>
        <v>0</v>
      </c>
      <c r="AJ87" s="119">
        <f>'Données d''entrée'!$J$354</f>
        <v>0.25</v>
      </c>
      <c r="AK87" s="40">
        <f>'Données d''entrée'!$J$357</f>
        <v>0.22</v>
      </c>
      <c r="AM87" s="125">
        <f t="shared" si="39"/>
        <v>0</v>
      </c>
      <c r="AN87" s="125">
        <f t="shared" si="40"/>
        <v>0</v>
      </c>
      <c r="AO87" s="125">
        <f t="shared" si="41"/>
        <v>0</v>
      </c>
      <c r="AP87" s="125">
        <f t="shared" si="42"/>
        <v>0</v>
      </c>
      <c r="AQ87" s="125">
        <f t="shared" si="43"/>
        <v>0</v>
      </c>
      <c r="AR87" s="125">
        <f t="shared" si="44"/>
        <v>0</v>
      </c>
      <c r="AS87" s="125">
        <f t="shared" si="45"/>
        <v>0</v>
      </c>
      <c r="AT87" s="125">
        <f t="shared" si="46"/>
        <v>0</v>
      </c>
      <c r="AU87" s="125">
        <f t="shared" si="47"/>
        <v>0</v>
      </c>
      <c r="AV87" s="125">
        <f t="shared" si="48"/>
        <v>0</v>
      </c>
      <c r="AW87" s="125">
        <f t="shared" si="49"/>
        <v>0</v>
      </c>
      <c r="AX87" s="125">
        <f t="shared" si="50"/>
        <v>0</v>
      </c>
      <c r="AY87" s="125">
        <f t="shared" si="51"/>
        <v>0</v>
      </c>
      <c r="AZ87" s="125">
        <f t="shared" si="52"/>
        <v>0</v>
      </c>
      <c r="BA87" s="125" t="str">
        <f t="shared" si="23"/>
        <v/>
      </c>
      <c r="BB87" s="125" t="str">
        <f t="shared" si="24"/>
        <v/>
      </c>
      <c r="BC87" s="125" t="str">
        <f t="shared" si="53"/>
        <v/>
      </c>
      <c r="BD87" s="143" t="str">
        <f t="shared" si="54"/>
        <v/>
      </c>
    </row>
    <row r="88" spans="1:56" x14ac:dyDescent="0.35">
      <c r="A88" s="130">
        <v>14</v>
      </c>
      <c r="B88" s="131" t="str">
        <f>IF(Exploitation!B28="","",Exploitation!B28)</f>
        <v/>
      </c>
      <c r="C88" s="139" t="str">
        <f>IF(Exploitation!$C67="","",Exploitation!$C67)</f>
        <v/>
      </c>
      <c r="D88" s="140" t="str">
        <f>IF(ISERROR(VLOOKUP(C88,'Données d''entrée'!$B$88:$D$91,2,FALSE)),"",VLOOKUP(C88,'Données d''entrée'!$B$88:$D$91,2,FALSE))</f>
        <v/>
      </c>
      <c r="E88" s="140" t="str">
        <f>IF(ISERROR(VLOOKUP(C88,'Données d''entrée'!$B$88:$D$91,3,FALSE)),"",VLOOKUP(C88,'Données d''entrée'!$B$88:$D$91,3,FALSE))</f>
        <v/>
      </c>
      <c r="F88" s="139" t="str">
        <f>IF(Exploitation!$D67="","",Exploitation!$D67)</f>
        <v/>
      </c>
      <c r="G88" s="139" t="str">
        <f>IF(Exploitation!G67="","",Exploitation!G67)</f>
        <v/>
      </c>
      <c r="H88" s="139" t="str">
        <f>IF(Exploitation!H67="","",Exploitation!H67)</f>
        <v/>
      </c>
      <c r="I88" s="358" t="str">
        <f>IF(Exploitation!I67="","",1-Exploitation!I67)</f>
        <v/>
      </c>
      <c r="J88" s="141">
        <f t="shared" si="25"/>
        <v>0</v>
      </c>
      <c r="K88" s="141">
        <f t="shared" si="26"/>
        <v>0</v>
      </c>
      <c r="L88" s="119">
        <f>'Données d''entrée'!$D$354</f>
        <v>0.27</v>
      </c>
      <c r="M88" s="40">
        <f>'Données d''entrée'!$D$357</f>
        <v>0.28000000000000003</v>
      </c>
      <c r="N88" s="141">
        <f t="shared" si="27"/>
        <v>0</v>
      </c>
      <c r="O88" s="141">
        <f t="shared" si="28"/>
        <v>0</v>
      </c>
      <c r="P88" s="119">
        <f>'Données d''entrée'!$E$354</f>
        <v>0.27</v>
      </c>
      <c r="Q88" s="40">
        <f>'Données d''entrée'!$E$357</f>
        <v>0.28000000000000003</v>
      </c>
      <c r="R88" s="141">
        <f t="shared" si="29"/>
        <v>0</v>
      </c>
      <c r="S88" s="141">
        <f t="shared" si="30"/>
        <v>0</v>
      </c>
      <c r="T88" s="119">
        <f>'Données d''entrée'!$F$354</f>
        <v>0.27</v>
      </c>
      <c r="U88" s="40">
        <f>'Données d''entrée'!$F$357</f>
        <v>0.28000000000000003</v>
      </c>
      <c r="V88" s="141">
        <f t="shared" si="31"/>
        <v>0</v>
      </c>
      <c r="W88" s="141">
        <f t="shared" si="32"/>
        <v>0</v>
      </c>
      <c r="X88" s="119">
        <f>'Données d''entrée'!$G$354</f>
        <v>0.25</v>
      </c>
      <c r="Y88" s="40">
        <f>'Données d''entrée'!$G$357</f>
        <v>0.22</v>
      </c>
      <c r="Z88" s="141">
        <f t="shared" si="33"/>
        <v>0</v>
      </c>
      <c r="AA88" s="141">
        <f t="shared" si="34"/>
        <v>0</v>
      </c>
      <c r="AB88" s="119">
        <f>'Données d''entrée'!$H$354</f>
        <v>0.25</v>
      </c>
      <c r="AC88" s="40">
        <f>'Données d''entrée'!$H$357</f>
        <v>0.22</v>
      </c>
      <c r="AD88" s="141">
        <f t="shared" si="35"/>
        <v>0</v>
      </c>
      <c r="AE88" s="141">
        <f t="shared" si="36"/>
        <v>0</v>
      </c>
      <c r="AF88" s="119">
        <f>'Données d''entrée'!$I$354</f>
        <v>0.25</v>
      </c>
      <c r="AG88" s="40">
        <f>'Données d''entrée'!$I$357</f>
        <v>0.22</v>
      </c>
      <c r="AH88" s="141">
        <f t="shared" si="37"/>
        <v>0</v>
      </c>
      <c r="AI88" s="141">
        <f t="shared" si="38"/>
        <v>0</v>
      </c>
      <c r="AJ88" s="119">
        <f>'Données d''entrée'!$J$354</f>
        <v>0.25</v>
      </c>
      <c r="AK88" s="40">
        <f>'Données d''entrée'!$J$357</f>
        <v>0.22</v>
      </c>
      <c r="AM88" s="125">
        <f t="shared" si="39"/>
        <v>0</v>
      </c>
      <c r="AN88" s="125">
        <f t="shared" si="40"/>
        <v>0</v>
      </c>
      <c r="AO88" s="125">
        <f t="shared" si="41"/>
        <v>0</v>
      </c>
      <c r="AP88" s="125">
        <f t="shared" si="42"/>
        <v>0</v>
      </c>
      <c r="AQ88" s="125">
        <f t="shared" si="43"/>
        <v>0</v>
      </c>
      <c r="AR88" s="125">
        <f t="shared" si="44"/>
        <v>0</v>
      </c>
      <c r="AS88" s="125">
        <f t="shared" si="45"/>
        <v>0</v>
      </c>
      <c r="AT88" s="125">
        <f t="shared" si="46"/>
        <v>0</v>
      </c>
      <c r="AU88" s="125">
        <f t="shared" si="47"/>
        <v>0</v>
      </c>
      <c r="AV88" s="125">
        <f t="shared" si="48"/>
        <v>0</v>
      </c>
      <c r="AW88" s="125">
        <f t="shared" si="49"/>
        <v>0</v>
      </c>
      <c r="AX88" s="125">
        <f t="shared" si="50"/>
        <v>0</v>
      </c>
      <c r="AY88" s="125">
        <f t="shared" si="51"/>
        <v>0</v>
      </c>
      <c r="AZ88" s="125">
        <f t="shared" si="52"/>
        <v>0</v>
      </c>
      <c r="BA88" s="125" t="str">
        <f t="shared" si="23"/>
        <v/>
      </c>
      <c r="BB88" s="125" t="str">
        <f t="shared" si="24"/>
        <v/>
      </c>
      <c r="BC88" s="125" t="str">
        <f t="shared" si="53"/>
        <v/>
      </c>
      <c r="BD88" s="143" t="str">
        <f t="shared" si="54"/>
        <v/>
      </c>
    </row>
    <row r="89" spans="1:56" x14ac:dyDescent="0.35">
      <c r="A89" s="130">
        <v>15</v>
      </c>
      <c r="B89" s="131" t="str">
        <f>IF(Exploitation!B29="","",Exploitation!B29)</f>
        <v/>
      </c>
      <c r="C89" s="139" t="str">
        <f>IF(Exploitation!$C68="","",Exploitation!$C68)</f>
        <v/>
      </c>
      <c r="D89" s="140" t="str">
        <f>IF(ISERROR(VLOOKUP(C89,'Données d''entrée'!$B$88:$D$91,2,FALSE)),"",VLOOKUP(C89,'Données d''entrée'!$B$88:$D$91,2,FALSE))</f>
        <v/>
      </c>
      <c r="E89" s="140" t="str">
        <f>IF(ISERROR(VLOOKUP(C89,'Données d''entrée'!$B$88:$D$91,3,FALSE)),"",VLOOKUP(C89,'Données d''entrée'!$B$88:$D$91,3,FALSE))</f>
        <v/>
      </c>
      <c r="F89" s="139" t="str">
        <f>IF(Exploitation!$D68="","",Exploitation!$D68)</f>
        <v/>
      </c>
      <c r="G89" s="139" t="str">
        <f>IF(Exploitation!G68="","",Exploitation!G68)</f>
        <v/>
      </c>
      <c r="H89" s="139" t="str">
        <f>IF(Exploitation!H68="","",Exploitation!H68)</f>
        <v/>
      </c>
      <c r="I89" s="358" t="str">
        <f>IF(Exploitation!I68="","",1-Exploitation!I68)</f>
        <v/>
      </c>
      <c r="J89" s="141">
        <f t="shared" si="25"/>
        <v>0</v>
      </c>
      <c r="K89" s="141">
        <f t="shared" si="26"/>
        <v>0</v>
      </c>
      <c r="L89" s="119">
        <f>'Données d''entrée'!$D$354</f>
        <v>0.27</v>
      </c>
      <c r="M89" s="40">
        <f>'Données d''entrée'!$D$357</f>
        <v>0.28000000000000003</v>
      </c>
      <c r="N89" s="141">
        <f t="shared" si="27"/>
        <v>0</v>
      </c>
      <c r="O89" s="141">
        <f t="shared" si="28"/>
        <v>0</v>
      </c>
      <c r="P89" s="119">
        <f>'Données d''entrée'!$E$354</f>
        <v>0.27</v>
      </c>
      <c r="Q89" s="40">
        <f>'Données d''entrée'!$E$357</f>
        <v>0.28000000000000003</v>
      </c>
      <c r="R89" s="141">
        <f t="shared" si="29"/>
        <v>0</v>
      </c>
      <c r="S89" s="141">
        <f t="shared" si="30"/>
        <v>0</v>
      </c>
      <c r="T89" s="119">
        <f>'Données d''entrée'!$F$354</f>
        <v>0.27</v>
      </c>
      <c r="U89" s="40">
        <f>'Données d''entrée'!$F$357</f>
        <v>0.28000000000000003</v>
      </c>
      <c r="V89" s="141">
        <f t="shared" si="31"/>
        <v>0</v>
      </c>
      <c r="W89" s="141">
        <f t="shared" si="32"/>
        <v>0</v>
      </c>
      <c r="X89" s="119">
        <f>'Données d''entrée'!$G$354</f>
        <v>0.25</v>
      </c>
      <c r="Y89" s="40">
        <f>'Données d''entrée'!$G$357</f>
        <v>0.22</v>
      </c>
      <c r="Z89" s="141">
        <f t="shared" si="33"/>
        <v>0</v>
      </c>
      <c r="AA89" s="141">
        <f t="shared" si="34"/>
        <v>0</v>
      </c>
      <c r="AB89" s="119">
        <f>'Données d''entrée'!$H$354</f>
        <v>0.25</v>
      </c>
      <c r="AC89" s="40">
        <f>'Données d''entrée'!$H$357</f>
        <v>0.22</v>
      </c>
      <c r="AD89" s="141">
        <f t="shared" si="35"/>
        <v>0</v>
      </c>
      <c r="AE89" s="141">
        <f t="shared" si="36"/>
        <v>0</v>
      </c>
      <c r="AF89" s="119">
        <f>'Données d''entrée'!$I$354</f>
        <v>0.25</v>
      </c>
      <c r="AG89" s="40">
        <f>'Données d''entrée'!$I$357</f>
        <v>0.22</v>
      </c>
      <c r="AH89" s="141">
        <f t="shared" si="37"/>
        <v>0</v>
      </c>
      <c r="AI89" s="141">
        <f t="shared" si="38"/>
        <v>0</v>
      </c>
      <c r="AJ89" s="119">
        <f>'Données d''entrée'!$J$354</f>
        <v>0.25</v>
      </c>
      <c r="AK89" s="40">
        <f>'Données d''entrée'!$J$357</f>
        <v>0.22</v>
      </c>
      <c r="AM89" s="125">
        <f t="shared" si="39"/>
        <v>0</v>
      </c>
      <c r="AN89" s="125">
        <f t="shared" si="40"/>
        <v>0</v>
      </c>
      <c r="AO89" s="125">
        <f t="shared" si="41"/>
        <v>0</v>
      </c>
      <c r="AP89" s="125">
        <f t="shared" si="42"/>
        <v>0</v>
      </c>
      <c r="AQ89" s="125">
        <f t="shared" si="43"/>
        <v>0</v>
      </c>
      <c r="AR89" s="125">
        <f t="shared" si="44"/>
        <v>0</v>
      </c>
      <c r="AS89" s="125">
        <f t="shared" si="45"/>
        <v>0</v>
      </c>
      <c r="AT89" s="125">
        <f t="shared" si="46"/>
        <v>0</v>
      </c>
      <c r="AU89" s="125">
        <f t="shared" si="47"/>
        <v>0</v>
      </c>
      <c r="AV89" s="125">
        <f t="shared" si="48"/>
        <v>0</v>
      </c>
      <c r="AW89" s="125">
        <f t="shared" si="49"/>
        <v>0</v>
      </c>
      <c r="AX89" s="125">
        <f t="shared" si="50"/>
        <v>0</v>
      </c>
      <c r="AY89" s="125">
        <f t="shared" si="51"/>
        <v>0</v>
      </c>
      <c r="AZ89" s="125">
        <f t="shared" si="52"/>
        <v>0</v>
      </c>
      <c r="BA89" s="125" t="str">
        <f t="shared" si="23"/>
        <v/>
      </c>
      <c r="BB89" s="125" t="str">
        <f t="shared" si="24"/>
        <v/>
      </c>
      <c r="BC89" s="125" t="str">
        <f t="shared" si="53"/>
        <v/>
      </c>
      <c r="BD89" s="143" t="str">
        <f t="shared" si="54"/>
        <v/>
      </c>
    </row>
    <row r="90" spans="1:56" x14ac:dyDescent="0.35">
      <c r="A90" s="130">
        <v>16</v>
      </c>
      <c r="B90" s="131" t="str">
        <f>IF(Exploitation!B30="","",Exploitation!B30)</f>
        <v/>
      </c>
      <c r="C90" s="139" t="str">
        <f>IF(Exploitation!$C69="","",Exploitation!$C69)</f>
        <v/>
      </c>
      <c r="D90" s="140" t="str">
        <f>IF(ISERROR(VLOOKUP(C90,'Données d''entrée'!$B$88:$D$91,2,FALSE)),"",VLOOKUP(C90,'Données d''entrée'!$B$88:$D$91,2,FALSE))</f>
        <v/>
      </c>
      <c r="E90" s="140" t="str">
        <f>IF(ISERROR(VLOOKUP(C90,'Données d''entrée'!$B$88:$D$91,3,FALSE)),"",VLOOKUP(C90,'Données d''entrée'!$B$88:$D$91,3,FALSE))</f>
        <v/>
      </c>
      <c r="F90" s="139" t="str">
        <f>IF(Exploitation!$D69="","",Exploitation!$D69)</f>
        <v/>
      </c>
      <c r="G90" s="139" t="str">
        <f>IF(Exploitation!G69="","",Exploitation!G69)</f>
        <v/>
      </c>
      <c r="H90" s="139" t="str">
        <f>IF(Exploitation!H69="","",Exploitation!H69)</f>
        <v/>
      </c>
      <c r="I90" s="358" t="str">
        <f>IF(Exploitation!I69="","",1-Exploitation!I69)</f>
        <v/>
      </c>
      <c r="J90" s="141">
        <f t="shared" si="25"/>
        <v>0</v>
      </c>
      <c r="K90" s="141">
        <f t="shared" si="26"/>
        <v>0</v>
      </c>
      <c r="L90" s="119">
        <f>'Données d''entrée'!$D$354</f>
        <v>0.27</v>
      </c>
      <c r="M90" s="40">
        <f>'Données d''entrée'!$D$357</f>
        <v>0.28000000000000003</v>
      </c>
      <c r="N90" s="141">
        <f t="shared" si="27"/>
        <v>0</v>
      </c>
      <c r="O90" s="141">
        <f t="shared" si="28"/>
        <v>0</v>
      </c>
      <c r="P90" s="119">
        <f>'Données d''entrée'!$E$354</f>
        <v>0.27</v>
      </c>
      <c r="Q90" s="40">
        <f>'Données d''entrée'!$E$357</f>
        <v>0.28000000000000003</v>
      </c>
      <c r="R90" s="141">
        <f t="shared" si="29"/>
        <v>0</v>
      </c>
      <c r="S90" s="141">
        <f t="shared" si="30"/>
        <v>0</v>
      </c>
      <c r="T90" s="119">
        <f>'Données d''entrée'!$F$354</f>
        <v>0.27</v>
      </c>
      <c r="U90" s="40">
        <f>'Données d''entrée'!$F$357</f>
        <v>0.28000000000000003</v>
      </c>
      <c r="V90" s="141">
        <f t="shared" si="31"/>
        <v>0</v>
      </c>
      <c r="W90" s="141">
        <f t="shared" si="32"/>
        <v>0</v>
      </c>
      <c r="X90" s="119">
        <f>'Données d''entrée'!$G$354</f>
        <v>0.25</v>
      </c>
      <c r="Y90" s="40">
        <f>'Données d''entrée'!$G$357</f>
        <v>0.22</v>
      </c>
      <c r="Z90" s="141">
        <f t="shared" si="33"/>
        <v>0</v>
      </c>
      <c r="AA90" s="141">
        <f t="shared" si="34"/>
        <v>0</v>
      </c>
      <c r="AB90" s="119">
        <f>'Données d''entrée'!$H$354</f>
        <v>0.25</v>
      </c>
      <c r="AC90" s="40">
        <f>'Données d''entrée'!$H$357</f>
        <v>0.22</v>
      </c>
      <c r="AD90" s="141">
        <f t="shared" si="35"/>
        <v>0</v>
      </c>
      <c r="AE90" s="141">
        <f t="shared" si="36"/>
        <v>0</v>
      </c>
      <c r="AF90" s="119">
        <f>'Données d''entrée'!$I$354</f>
        <v>0.25</v>
      </c>
      <c r="AG90" s="40">
        <f>'Données d''entrée'!$I$357</f>
        <v>0.22</v>
      </c>
      <c r="AH90" s="141">
        <f t="shared" si="37"/>
        <v>0</v>
      </c>
      <c r="AI90" s="141">
        <f t="shared" si="38"/>
        <v>0</v>
      </c>
      <c r="AJ90" s="119">
        <f>'Données d''entrée'!$J$354</f>
        <v>0.25</v>
      </c>
      <c r="AK90" s="40">
        <f>'Données d''entrée'!$J$357</f>
        <v>0.22</v>
      </c>
      <c r="AM90" s="125">
        <f t="shared" ref="AM90:AM94" si="55">IF(ISERROR(J90*L90),"",J90*L90)</f>
        <v>0</v>
      </c>
      <c r="AN90" s="125">
        <f t="shared" ref="AN90:AN94" si="56">IF(ISERROR(K90*M90),"",K90*M90)</f>
        <v>0</v>
      </c>
      <c r="AO90" s="125">
        <f t="shared" ref="AO90:AO94" si="57">IF(ISERROR(N90*P90),"",N90*P90)</f>
        <v>0</v>
      </c>
      <c r="AP90" s="125">
        <f t="shared" ref="AP90:AP94" si="58">IF(ISERROR(O90*Q90),"",O90*Q90)</f>
        <v>0</v>
      </c>
      <c r="AQ90" s="125">
        <f t="shared" ref="AQ90:AQ94" si="59">IF(ISERROR(R90*T90),"",R90*T90)</f>
        <v>0</v>
      </c>
      <c r="AR90" s="125">
        <f t="shared" ref="AR90:AR94" si="60">IF(ISERROR(S90*U90),"",S90*U90)</f>
        <v>0</v>
      </c>
      <c r="AS90" s="125">
        <f t="shared" ref="AS90:AS94" si="61">IF(ISERROR(V90*X90),"",V90*X90)</f>
        <v>0</v>
      </c>
      <c r="AT90" s="125">
        <f t="shared" ref="AT90:AT94" si="62">IF(ISERROR(W90*Y90),"",W90*Y90)</f>
        <v>0</v>
      </c>
      <c r="AU90" s="125">
        <f t="shared" ref="AU90:AU94" si="63">IF(ISERROR(Z90*AB90),"",Z90*AB90)</f>
        <v>0</v>
      </c>
      <c r="AV90" s="125">
        <f t="shared" ref="AV90:AV94" si="64">IF(ISERROR(AA90*AC90),"",AA90*AC90)</f>
        <v>0</v>
      </c>
      <c r="AW90" s="125">
        <f t="shared" ref="AW90:AW94" si="65">IF(ISERROR(AD90*AF90),"",AD90*AF90)</f>
        <v>0</v>
      </c>
      <c r="AX90" s="125">
        <f t="shared" ref="AX90:AX94" si="66">IF(ISERROR(AE90*AG90),"",AE90*AG90)</f>
        <v>0</v>
      </c>
      <c r="AY90" s="125">
        <f t="shared" ref="AY90:AY94" si="67">IF(ISERROR(AH90*AJ90),"",AH90*AJ90)</f>
        <v>0</v>
      </c>
      <c r="AZ90" s="125">
        <f t="shared" ref="AZ90:AZ94" si="68">IF(ISERROR(AI90*AK90),"",AI90*AK90)</f>
        <v>0</v>
      </c>
      <c r="BA90" s="125" t="str">
        <f t="shared" si="23"/>
        <v/>
      </c>
      <c r="BB90" s="125" t="str">
        <f t="shared" si="24"/>
        <v/>
      </c>
      <c r="BC90" s="125" t="str">
        <f t="shared" ref="BC90:BC94" si="69">IF(AND(BA90="",BB90=""),"",SUM(BA90:BB90))</f>
        <v/>
      </c>
      <c r="BD90" s="143" t="str">
        <f t="shared" ref="BD90:BD94" si="70">IF(ISERROR(SUM(AM90:AZ90)-BC90),"",SUM(AM90:AZ90)-BC90)</f>
        <v/>
      </c>
    </row>
    <row r="91" spans="1:56" x14ac:dyDescent="0.35">
      <c r="A91" s="130">
        <v>17</v>
      </c>
      <c r="B91" s="131" t="str">
        <f>IF(Exploitation!B31="","",Exploitation!B31)</f>
        <v/>
      </c>
      <c r="C91" s="139" t="str">
        <f>IF(Exploitation!$C70="","",Exploitation!$C70)</f>
        <v/>
      </c>
      <c r="D91" s="140" t="str">
        <f>IF(ISERROR(VLOOKUP(C91,'Données d''entrée'!$B$88:$D$91,2,FALSE)),"",VLOOKUP(C91,'Données d''entrée'!$B$88:$D$91,2,FALSE))</f>
        <v/>
      </c>
      <c r="E91" s="140" t="str">
        <f>IF(ISERROR(VLOOKUP(C91,'Données d''entrée'!$B$88:$D$91,3,FALSE)),"",VLOOKUP(C91,'Données d''entrée'!$B$88:$D$91,3,FALSE))</f>
        <v/>
      </c>
      <c r="F91" s="139" t="str">
        <f>IF(Exploitation!$D70="","",Exploitation!$D70)</f>
        <v/>
      </c>
      <c r="G91" s="139" t="str">
        <f>IF(Exploitation!G70="","",Exploitation!G70)</f>
        <v/>
      </c>
      <c r="H91" s="139" t="str">
        <f>IF(Exploitation!H70="","",Exploitation!H70)</f>
        <v/>
      </c>
      <c r="I91" s="358" t="str">
        <f>IF(Exploitation!I70="","",1-Exploitation!I70)</f>
        <v/>
      </c>
      <c r="J91" s="141">
        <f t="shared" si="25"/>
        <v>0</v>
      </c>
      <c r="K91" s="141">
        <f t="shared" si="26"/>
        <v>0</v>
      </c>
      <c r="L91" s="119">
        <f>'Données d''entrée'!$D$354</f>
        <v>0.27</v>
      </c>
      <c r="M91" s="40">
        <f>'Données d''entrée'!$D$357</f>
        <v>0.28000000000000003</v>
      </c>
      <c r="N91" s="141">
        <f t="shared" si="27"/>
        <v>0</v>
      </c>
      <c r="O91" s="141">
        <f t="shared" si="28"/>
        <v>0</v>
      </c>
      <c r="P91" s="119">
        <f>'Données d''entrée'!$E$354</f>
        <v>0.27</v>
      </c>
      <c r="Q91" s="40">
        <f>'Données d''entrée'!$E$357</f>
        <v>0.28000000000000003</v>
      </c>
      <c r="R91" s="141">
        <f t="shared" si="29"/>
        <v>0</v>
      </c>
      <c r="S91" s="141">
        <f t="shared" si="30"/>
        <v>0</v>
      </c>
      <c r="T91" s="119">
        <f>'Données d''entrée'!$F$354</f>
        <v>0.27</v>
      </c>
      <c r="U91" s="40">
        <f>'Données d''entrée'!$F$357</f>
        <v>0.28000000000000003</v>
      </c>
      <c r="V91" s="141">
        <f t="shared" si="31"/>
        <v>0</v>
      </c>
      <c r="W91" s="141">
        <f t="shared" si="32"/>
        <v>0</v>
      </c>
      <c r="X91" s="119">
        <f>'Données d''entrée'!$G$354</f>
        <v>0.25</v>
      </c>
      <c r="Y91" s="40">
        <f>'Données d''entrée'!$G$357</f>
        <v>0.22</v>
      </c>
      <c r="Z91" s="141">
        <f t="shared" si="33"/>
        <v>0</v>
      </c>
      <c r="AA91" s="141">
        <f t="shared" si="34"/>
        <v>0</v>
      </c>
      <c r="AB91" s="119">
        <f>'Données d''entrée'!$H$354</f>
        <v>0.25</v>
      </c>
      <c r="AC91" s="40">
        <f>'Données d''entrée'!$H$357</f>
        <v>0.22</v>
      </c>
      <c r="AD91" s="141">
        <f t="shared" si="35"/>
        <v>0</v>
      </c>
      <c r="AE91" s="141">
        <f t="shared" si="36"/>
        <v>0</v>
      </c>
      <c r="AF91" s="119">
        <f>'Données d''entrée'!$I$354</f>
        <v>0.25</v>
      </c>
      <c r="AG91" s="40">
        <f>'Données d''entrée'!$I$357</f>
        <v>0.22</v>
      </c>
      <c r="AH91" s="141">
        <f t="shared" si="37"/>
        <v>0</v>
      </c>
      <c r="AI91" s="141">
        <f t="shared" si="38"/>
        <v>0</v>
      </c>
      <c r="AJ91" s="119">
        <f>'Données d''entrée'!$J$354</f>
        <v>0.25</v>
      </c>
      <c r="AK91" s="40">
        <f>'Données d''entrée'!$J$357</f>
        <v>0.22</v>
      </c>
      <c r="AM91" s="125">
        <f t="shared" si="55"/>
        <v>0</v>
      </c>
      <c r="AN91" s="125">
        <f t="shared" si="56"/>
        <v>0</v>
      </c>
      <c r="AO91" s="125">
        <f t="shared" si="57"/>
        <v>0</v>
      </c>
      <c r="AP91" s="125">
        <f t="shared" si="58"/>
        <v>0</v>
      </c>
      <c r="AQ91" s="125">
        <f t="shared" si="59"/>
        <v>0</v>
      </c>
      <c r="AR91" s="125">
        <f t="shared" si="60"/>
        <v>0</v>
      </c>
      <c r="AS91" s="125">
        <f t="shared" si="61"/>
        <v>0</v>
      </c>
      <c r="AT91" s="125">
        <f t="shared" si="62"/>
        <v>0</v>
      </c>
      <c r="AU91" s="125">
        <f t="shared" si="63"/>
        <v>0</v>
      </c>
      <c r="AV91" s="125">
        <f t="shared" si="64"/>
        <v>0</v>
      </c>
      <c r="AW91" s="125">
        <f t="shared" si="65"/>
        <v>0</v>
      </c>
      <c r="AX91" s="125">
        <f t="shared" si="66"/>
        <v>0</v>
      </c>
      <c r="AY91" s="125">
        <f t="shared" si="67"/>
        <v>0</v>
      </c>
      <c r="AZ91" s="125">
        <f t="shared" si="68"/>
        <v>0</v>
      </c>
      <c r="BA91" s="125" t="str">
        <f t="shared" si="23"/>
        <v/>
      </c>
      <c r="BB91" s="125" t="str">
        <f t="shared" si="24"/>
        <v/>
      </c>
      <c r="BC91" s="125" t="str">
        <f t="shared" si="69"/>
        <v/>
      </c>
      <c r="BD91" s="143" t="str">
        <f t="shared" si="70"/>
        <v/>
      </c>
    </row>
    <row r="92" spans="1:56" x14ac:dyDescent="0.35">
      <c r="A92" s="130">
        <v>18</v>
      </c>
      <c r="B92" s="131" t="str">
        <f>IF(Exploitation!B32="","",Exploitation!B32)</f>
        <v/>
      </c>
      <c r="C92" s="139" t="str">
        <f>IF(Exploitation!$C71="","",Exploitation!$C71)</f>
        <v/>
      </c>
      <c r="D92" s="140" t="str">
        <f>IF(ISERROR(VLOOKUP(C92,'Données d''entrée'!$B$88:$D$91,2,FALSE)),"",VLOOKUP(C92,'Données d''entrée'!$B$88:$D$91,2,FALSE))</f>
        <v/>
      </c>
      <c r="E92" s="140" t="str">
        <f>IF(ISERROR(VLOOKUP(C92,'Données d''entrée'!$B$88:$D$91,3,FALSE)),"",VLOOKUP(C92,'Données d''entrée'!$B$88:$D$91,3,FALSE))</f>
        <v/>
      </c>
      <c r="F92" s="139" t="str">
        <f>IF(Exploitation!$D71="","",Exploitation!$D71)</f>
        <v/>
      </c>
      <c r="G92" s="139" t="str">
        <f>IF(Exploitation!G71="","",Exploitation!G71)</f>
        <v/>
      </c>
      <c r="H92" s="139" t="str">
        <f>IF(Exploitation!H71="","",Exploitation!H71)</f>
        <v/>
      </c>
      <c r="I92" s="358" t="str">
        <f>IF(Exploitation!I71="","",1-Exploitation!I71)</f>
        <v/>
      </c>
      <c r="J92" s="141">
        <f t="shared" si="25"/>
        <v>0</v>
      </c>
      <c r="K92" s="141">
        <f t="shared" si="26"/>
        <v>0</v>
      </c>
      <c r="L92" s="119">
        <f>'Données d''entrée'!$D$354</f>
        <v>0.27</v>
      </c>
      <c r="M92" s="40">
        <f>'Données d''entrée'!$D$357</f>
        <v>0.28000000000000003</v>
      </c>
      <c r="N92" s="141">
        <f t="shared" si="27"/>
        <v>0</v>
      </c>
      <c r="O92" s="141">
        <f t="shared" si="28"/>
        <v>0</v>
      </c>
      <c r="P92" s="119">
        <f>'Données d''entrée'!$E$354</f>
        <v>0.27</v>
      </c>
      <c r="Q92" s="40">
        <f>'Données d''entrée'!$E$357</f>
        <v>0.28000000000000003</v>
      </c>
      <c r="R92" s="141">
        <f t="shared" si="29"/>
        <v>0</v>
      </c>
      <c r="S92" s="141">
        <f t="shared" si="30"/>
        <v>0</v>
      </c>
      <c r="T92" s="119">
        <f>'Données d''entrée'!$F$354</f>
        <v>0.27</v>
      </c>
      <c r="U92" s="40">
        <f>'Données d''entrée'!$F$357</f>
        <v>0.28000000000000003</v>
      </c>
      <c r="V92" s="141">
        <f t="shared" si="31"/>
        <v>0</v>
      </c>
      <c r="W92" s="141">
        <f t="shared" si="32"/>
        <v>0</v>
      </c>
      <c r="X92" s="119">
        <f>'Données d''entrée'!$G$354</f>
        <v>0.25</v>
      </c>
      <c r="Y92" s="40">
        <f>'Données d''entrée'!$G$357</f>
        <v>0.22</v>
      </c>
      <c r="Z92" s="141">
        <f t="shared" si="33"/>
        <v>0</v>
      </c>
      <c r="AA92" s="141">
        <f t="shared" si="34"/>
        <v>0</v>
      </c>
      <c r="AB92" s="119">
        <f>'Données d''entrée'!$H$354</f>
        <v>0.25</v>
      </c>
      <c r="AC92" s="40">
        <f>'Données d''entrée'!$H$357</f>
        <v>0.22</v>
      </c>
      <c r="AD92" s="141">
        <f t="shared" si="35"/>
        <v>0</v>
      </c>
      <c r="AE92" s="141">
        <f t="shared" si="36"/>
        <v>0</v>
      </c>
      <c r="AF92" s="119">
        <f>'Données d''entrée'!$I$354</f>
        <v>0.25</v>
      </c>
      <c r="AG92" s="40">
        <f>'Données d''entrée'!$I$357</f>
        <v>0.22</v>
      </c>
      <c r="AH92" s="141">
        <f t="shared" si="37"/>
        <v>0</v>
      </c>
      <c r="AI92" s="141">
        <f t="shared" si="38"/>
        <v>0</v>
      </c>
      <c r="AJ92" s="119">
        <f>'Données d''entrée'!$J$354</f>
        <v>0.25</v>
      </c>
      <c r="AK92" s="40">
        <f>'Données d''entrée'!$J$357</f>
        <v>0.22</v>
      </c>
      <c r="AM92" s="125">
        <f t="shared" si="55"/>
        <v>0</v>
      </c>
      <c r="AN92" s="125">
        <f t="shared" si="56"/>
        <v>0</v>
      </c>
      <c r="AO92" s="125">
        <f t="shared" si="57"/>
        <v>0</v>
      </c>
      <c r="AP92" s="125">
        <f t="shared" si="58"/>
        <v>0</v>
      </c>
      <c r="AQ92" s="125">
        <f t="shared" si="59"/>
        <v>0</v>
      </c>
      <c r="AR92" s="125">
        <f t="shared" si="60"/>
        <v>0</v>
      </c>
      <c r="AS92" s="125">
        <f t="shared" si="61"/>
        <v>0</v>
      </c>
      <c r="AT92" s="125">
        <f t="shared" si="62"/>
        <v>0</v>
      </c>
      <c r="AU92" s="125">
        <f t="shared" si="63"/>
        <v>0</v>
      </c>
      <c r="AV92" s="125">
        <f t="shared" si="64"/>
        <v>0</v>
      </c>
      <c r="AW92" s="125">
        <f t="shared" si="65"/>
        <v>0</v>
      </c>
      <c r="AX92" s="125">
        <f t="shared" si="66"/>
        <v>0</v>
      </c>
      <c r="AY92" s="125">
        <f t="shared" si="67"/>
        <v>0</v>
      </c>
      <c r="AZ92" s="125">
        <f t="shared" si="68"/>
        <v>0</v>
      </c>
      <c r="BA92" s="125" t="str">
        <f t="shared" si="23"/>
        <v/>
      </c>
      <c r="BB92" s="125" t="str">
        <f t="shared" si="24"/>
        <v/>
      </c>
      <c r="BC92" s="125" t="str">
        <f t="shared" si="69"/>
        <v/>
      </c>
      <c r="BD92" s="143" t="str">
        <f t="shared" si="70"/>
        <v/>
      </c>
    </row>
    <row r="93" spans="1:56" x14ac:dyDescent="0.35">
      <c r="A93" s="130">
        <v>19</v>
      </c>
      <c r="B93" s="131" t="str">
        <f>IF(Exploitation!B33="","",Exploitation!B33)</f>
        <v/>
      </c>
      <c r="C93" s="139" t="str">
        <f>IF(Exploitation!$C72="","",Exploitation!$C72)</f>
        <v/>
      </c>
      <c r="D93" s="140" t="str">
        <f>IF(ISERROR(VLOOKUP(C93,'Données d''entrée'!$B$88:$D$91,2,FALSE)),"",VLOOKUP(C93,'Données d''entrée'!$B$88:$D$91,2,FALSE))</f>
        <v/>
      </c>
      <c r="E93" s="140" t="str">
        <f>IF(ISERROR(VLOOKUP(C93,'Données d''entrée'!$B$88:$D$91,3,FALSE)),"",VLOOKUP(C93,'Données d''entrée'!$B$88:$D$91,3,FALSE))</f>
        <v/>
      </c>
      <c r="F93" s="139" t="str">
        <f>IF(Exploitation!$D72="","",Exploitation!$D72)</f>
        <v/>
      </c>
      <c r="G93" s="139" t="str">
        <f>IF(Exploitation!G72="","",Exploitation!G72)</f>
        <v/>
      </c>
      <c r="H93" s="139" t="str">
        <f>IF(Exploitation!H72="","",Exploitation!H72)</f>
        <v/>
      </c>
      <c r="I93" s="358" t="str">
        <f>IF(Exploitation!I72="","",1-Exploitation!I72)</f>
        <v/>
      </c>
      <c r="J93" s="141">
        <f t="shared" si="25"/>
        <v>0</v>
      </c>
      <c r="K93" s="141">
        <f t="shared" si="26"/>
        <v>0</v>
      </c>
      <c r="L93" s="119">
        <f>'Données d''entrée'!$D$354</f>
        <v>0.27</v>
      </c>
      <c r="M93" s="40">
        <f>'Données d''entrée'!$D$357</f>
        <v>0.28000000000000003</v>
      </c>
      <c r="N93" s="141">
        <f t="shared" si="27"/>
        <v>0</v>
      </c>
      <c r="O93" s="141">
        <f t="shared" si="28"/>
        <v>0</v>
      </c>
      <c r="P93" s="119">
        <f>'Données d''entrée'!$E$354</f>
        <v>0.27</v>
      </c>
      <c r="Q93" s="40">
        <f>'Données d''entrée'!$E$357</f>
        <v>0.28000000000000003</v>
      </c>
      <c r="R93" s="141">
        <f t="shared" si="29"/>
        <v>0</v>
      </c>
      <c r="S93" s="141">
        <f t="shared" si="30"/>
        <v>0</v>
      </c>
      <c r="T93" s="119">
        <f>'Données d''entrée'!$F$354</f>
        <v>0.27</v>
      </c>
      <c r="U93" s="40">
        <f>'Données d''entrée'!$F$357</f>
        <v>0.28000000000000003</v>
      </c>
      <c r="V93" s="141">
        <f t="shared" si="31"/>
        <v>0</v>
      </c>
      <c r="W93" s="141">
        <f t="shared" si="32"/>
        <v>0</v>
      </c>
      <c r="X93" s="119">
        <f>'Données d''entrée'!$G$354</f>
        <v>0.25</v>
      </c>
      <c r="Y93" s="40">
        <f>'Données d''entrée'!$G$357</f>
        <v>0.22</v>
      </c>
      <c r="Z93" s="141">
        <f t="shared" si="33"/>
        <v>0</v>
      </c>
      <c r="AA93" s="141">
        <f t="shared" si="34"/>
        <v>0</v>
      </c>
      <c r="AB93" s="119">
        <f>'Données d''entrée'!$H$354</f>
        <v>0.25</v>
      </c>
      <c r="AC93" s="40">
        <f>'Données d''entrée'!$H$357</f>
        <v>0.22</v>
      </c>
      <c r="AD93" s="141">
        <f t="shared" si="35"/>
        <v>0</v>
      </c>
      <c r="AE93" s="141">
        <f t="shared" si="36"/>
        <v>0</v>
      </c>
      <c r="AF93" s="119">
        <f>'Données d''entrée'!$I$354</f>
        <v>0.25</v>
      </c>
      <c r="AG93" s="40">
        <f>'Données d''entrée'!$I$357</f>
        <v>0.22</v>
      </c>
      <c r="AH93" s="141">
        <f t="shared" si="37"/>
        <v>0</v>
      </c>
      <c r="AI93" s="141">
        <f t="shared" si="38"/>
        <v>0</v>
      </c>
      <c r="AJ93" s="119">
        <f>'Données d''entrée'!$J$354</f>
        <v>0.25</v>
      </c>
      <c r="AK93" s="40">
        <f>'Données d''entrée'!$J$357</f>
        <v>0.22</v>
      </c>
      <c r="AM93" s="125">
        <f t="shared" si="55"/>
        <v>0</v>
      </c>
      <c r="AN93" s="125">
        <f t="shared" si="56"/>
        <v>0</v>
      </c>
      <c r="AO93" s="125">
        <f t="shared" si="57"/>
        <v>0</v>
      </c>
      <c r="AP93" s="125">
        <f t="shared" si="58"/>
        <v>0</v>
      </c>
      <c r="AQ93" s="125">
        <f t="shared" si="59"/>
        <v>0</v>
      </c>
      <c r="AR93" s="125">
        <f t="shared" si="60"/>
        <v>0</v>
      </c>
      <c r="AS93" s="125">
        <f t="shared" si="61"/>
        <v>0</v>
      </c>
      <c r="AT93" s="125">
        <f t="shared" si="62"/>
        <v>0</v>
      </c>
      <c r="AU93" s="125">
        <f t="shared" si="63"/>
        <v>0</v>
      </c>
      <c r="AV93" s="125">
        <f t="shared" si="64"/>
        <v>0</v>
      </c>
      <c r="AW93" s="125">
        <f t="shared" si="65"/>
        <v>0</v>
      </c>
      <c r="AX93" s="125">
        <f t="shared" si="66"/>
        <v>0</v>
      </c>
      <c r="AY93" s="125">
        <f t="shared" si="67"/>
        <v>0</v>
      </c>
      <c r="AZ93" s="125">
        <f t="shared" si="68"/>
        <v>0</v>
      </c>
      <c r="BA93" s="125" t="str">
        <f t="shared" si="23"/>
        <v/>
      </c>
      <c r="BB93" s="125" t="str">
        <f t="shared" si="24"/>
        <v/>
      </c>
      <c r="BC93" s="125" t="str">
        <f t="shared" si="69"/>
        <v/>
      </c>
      <c r="BD93" s="143" t="str">
        <f t="shared" si="70"/>
        <v/>
      </c>
    </row>
    <row r="94" spans="1:56" x14ac:dyDescent="0.35">
      <c r="A94" s="130">
        <v>20</v>
      </c>
      <c r="B94" s="131" t="str">
        <f>IF(Exploitation!B34="","",Exploitation!B34)</f>
        <v/>
      </c>
      <c r="C94" s="139" t="str">
        <f>IF(Exploitation!$C73="","",Exploitation!$C73)</f>
        <v/>
      </c>
      <c r="D94" s="140" t="str">
        <f>IF(ISERROR(VLOOKUP(C94,'Données d''entrée'!$B$88:$D$91,2,FALSE)),"",VLOOKUP(C94,'Données d''entrée'!$B$88:$D$91,2,FALSE))</f>
        <v/>
      </c>
      <c r="E94" s="140" t="str">
        <f>IF(ISERROR(VLOOKUP(C94,'Données d''entrée'!$B$88:$D$91,3,FALSE)),"",VLOOKUP(C94,'Données d''entrée'!$B$88:$D$91,3,FALSE))</f>
        <v/>
      </c>
      <c r="F94" s="139" t="str">
        <f>IF(Exploitation!$D73="","",Exploitation!$D73)</f>
        <v/>
      </c>
      <c r="G94" s="139" t="str">
        <f>IF(Exploitation!G73="","",Exploitation!G73)</f>
        <v/>
      </c>
      <c r="H94" s="139" t="str">
        <f>IF(Exploitation!H73="","",Exploitation!H73)</f>
        <v/>
      </c>
      <c r="I94" s="358" t="str">
        <f>IF(Exploitation!I73="","",1-Exploitation!I73)</f>
        <v/>
      </c>
      <c r="J94" s="141">
        <f t="shared" si="25"/>
        <v>0</v>
      </c>
      <c r="K94" s="141">
        <f t="shared" si="26"/>
        <v>0</v>
      </c>
      <c r="L94" s="119">
        <f>'Données d''entrée'!$D$354</f>
        <v>0.27</v>
      </c>
      <c r="M94" s="40">
        <f>'Données d''entrée'!$D$357</f>
        <v>0.28000000000000003</v>
      </c>
      <c r="N94" s="141">
        <f t="shared" si="27"/>
        <v>0</v>
      </c>
      <c r="O94" s="141">
        <f t="shared" si="28"/>
        <v>0</v>
      </c>
      <c r="P94" s="119">
        <f>'Données d''entrée'!$E$354</f>
        <v>0.27</v>
      </c>
      <c r="Q94" s="40">
        <f>'Données d''entrée'!$E$357</f>
        <v>0.28000000000000003</v>
      </c>
      <c r="R94" s="141">
        <f t="shared" si="29"/>
        <v>0</v>
      </c>
      <c r="S94" s="141">
        <f t="shared" si="30"/>
        <v>0</v>
      </c>
      <c r="T94" s="119">
        <f>'Données d''entrée'!$F$354</f>
        <v>0.27</v>
      </c>
      <c r="U94" s="40">
        <f>'Données d''entrée'!$F$357</f>
        <v>0.28000000000000003</v>
      </c>
      <c r="V94" s="141">
        <f t="shared" si="31"/>
        <v>0</v>
      </c>
      <c r="W94" s="141">
        <f t="shared" si="32"/>
        <v>0</v>
      </c>
      <c r="X94" s="119">
        <f>'Données d''entrée'!$G$354</f>
        <v>0.25</v>
      </c>
      <c r="Y94" s="40">
        <f>'Données d''entrée'!$G$357</f>
        <v>0.22</v>
      </c>
      <c r="Z94" s="141">
        <f t="shared" si="33"/>
        <v>0</v>
      </c>
      <c r="AA94" s="141">
        <f t="shared" si="34"/>
        <v>0</v>
      </c>
      <c r="AB94" s="119">
        <f>'Données d''entrée'!$H$354</f>
        <v>0.25</v>
      </c>
      <c r="AC94" s="40">
        <f>'Données d''entrée'!$H$357</f>
        <v>0.22</v>
      </c>
      <c r="AD94" s="141">
        <f t="shared" si="35"/>
        <v>0</v>
      </c>
      <c r="AE94" s="141">
        <f t="shared" si="36"/>
        <v>0</v>
      </c>
      <c r="AF94" s="119">
        <f>'Données d''entrée'!$I$354</f>
        <v>0.25</v>
      </c>
      <c r="AG94" s="40">
        <f>'Données d''entrée'!$I$357</f>
        <v>0.22</v>
      </c>
      <c r="AH94" s="141">
        <f t="shared" si="37"/>
        <v>0</v>
      </c>
      <c r="AI94" s="141">
        <f t="shared" si="38"/>
        <v>0</v>
      </c>
      <c r="AJ94" s="119">
        <f>'Données d''entrée'!$J$354</f>
        <v>0.25</v>
      </c>
      <c r="AK94" s="40">
        <f>'Données d''entrée'!$J$357</f>
        <v>0.22</v>
      </c>
      <c r="AM94" s="125">
        <f t="shared" si="55"/>
        <v>0</v>
      </c>
      <c r="AN94" s="125">
        <f t="shared" si="56"/>
        <v>0</v>
      </c>
      <c r="AO94" s="125">
        <f t="shared" si="57"/>
        <v>0</v>
      </c>
      <c r="AP94" s="125">
        <f t="shared" si="58"/>
        <v>0</v>
      </c>
      <c r="AQ94" s="125">
        <f t="shared" si="59"/>
        <v>0</v>
      </c>
      <c r="AR94" s="125">
        <f t="shared" si="60"/>
        <v>0</v>
      </c>
      <c r="AS94" s="125">
        <f t="shared" si="61"/>
        <v>0</v>
      </c>
      <c r="AT94" s="125">
        <f t="shared" si="62"/>
        <v>0</v>
      </c>
      <c r="AU94" s="125">
        <f t="shared" si="63"/>
        <v>0</v>
      </c>
      <c r="AV94" s="125">
        <f t="shared" si="64"/>
        <v>0</v>
      </c>
      <c r="AW94" s="125">
        <f t="shared" si="65"/>
        <v>0</v>
      </c>
      <c r="AX94" s="125">
        <f t="shared" si="66"/>
        <v>0</v>
      </c>
      <c r="AY94" s="125">
        <f t="shared" si="67"/>
        <v>0</v>
      </c>
      <c r="AZ94" s="125">
        <f t="shared" si="68"/>
        <v>0</v>
      </c>
      <c r="BA94" s="125" t="str">
        <f t="shared" si="23"/>
        <v/>
      </c>
      <c r="BB94" s="125" t="str">
        <f t="shared" si="24"/>
        <v/>
      </c>
      <c r="BC94" s="125" t="str">
        <f t="shared" si="69"/>
        <v/>
      </c>
      <c r="BD94" s="143" t="str">
        <f t="shared" si="70"/>
        <v/>
      </c>
    </row>
    <row r="96" spans="1:56" x14ac:dyDescent="0.35">
      <c r="C96" s="133" t="s">
        <v>193</v>
      </c>
    </row>
    <row r="97" spans="1:29" x14ac:dyDescent="0.35">
      <c r="C97" s="133"/>
      <c r="I97" s="522" t="s">
        <v>373</v>
      </c>
      <c r="J97" s="523"/>
      <c r="K97" s="523"/>
      <c r="L97" s="523"/>
      <c r="M97" s="523"/>
      <c r="N97" s="523"/>
      <c r="O97" s="523"/>
      <c r="P97" s="523"/>
      <c r="Q97" s="523"/>
      <c r="R97" s="523"/>
      <c r="S97" s="523"/>
      <c r="T97" s="523"/>
      <c r="U97" s="523"/>
      <c r="V97" s="523"/>
      <c r="W97" s="523"/>
      <c r="X97" s="523"/>
      <c r="Y97" s="524"/>
    </row>
    <row r="98" spans="1:29" ht="15" customHeight="1" x14ac:dyDescent="0.35">
      <c r="C98" s="531" t="s">
        <v>191</v>
      </c>
      <c r="D98" s="532"/>
      <c r="E98" s="532"/>
      <c r="F98" s="532"/>
      <c r="G98" s="532"/>
      <c r="H98" s="533"/>
      <c r="I98" s="528" t="s">
        <v>46</v>
      </c>
      <c r="J98" s="529"/>
      <c r="K98" s="528" t="s">
        <v>47</v>
      </c>
      <c r="L98" s="529"/>
      <c r="M98" s="528" t="s">
        <v>51</v>
      </c>
      <c r="N98" s="529"/>
      <c r="O98" s="528" t="s">
        <v>124</v>
      </c>
      <c r="P98" s="529"/>
      <c r="Q98" s="528" t="s">
        <v>49</v>
      </c>
      <c r="R98" s="529"/>
      <c r="S98" s="528" t="s">
        <v>48</v>
      </c>
      <c r="T98" s="529"/>
      <c r="U98" s="528" t="s">
        <v>52</v>
      </c>
      <c r="V98" s="529"/>
      <c r="W98" s="517" t="s">
        <v>16</v>
      </c>
      <c r="X98" s="518"/>
      <c r="Y98" s="519"/>
    </row>
    <row r="99" spans="1:29" ht="93.75" customHeight="1" x14ac:dyDescent="0.35">
      <c r="C99" s="144" t="s">
        <v>184</v>
      </c>
      <c r="D99" s="144" t="s">
        <v>185</v>
      </c>
      <c r="E99" s="135" t="s">
        <v>342</v>
      </c>
      <c r="F99" s="145" t="s">
        <v>343</v>
      </c>
      <c r="G99" s="112" t="s">
        <v>344</v>
      </c>
      <c r="H99" s="112" t="s">
        <v>345</v>
      </c>
      <c r="I99" s="135" t="s">
        <v>177</v>
      </c>
      <c r="J99" s="135" t="s">
        <v>178</v>
      </c>
      <c r="K99" s="135" t="s">
        <v>177</v>
      </c>
      <c r="L99" s="135" t="s">
        <v>178</v>
      </c>
      <c r="M99" s="135" t="s">
        <v>177</v>
      </c>
      <c r="N99" s="135" t="s">
        <v>178</v>
      </c>
      <c r="O99" s="135" t="s">
        <v>177</v>
      </c>
      <c r="P99" s="135" t="s">
        <v>178</v>
      </c>
      <c r="Q99" s="135" t="s">
        <v>177</v>
      </c>
      <c r="R99" s="135" t="s">
        <v>178</v>
      </c>
      <c r="S99" s="135" t="s">
        <v>177</v>
      </c>
      <c r="T99" s="135" t="s">
        <v>178</v>
      </c>
      <c r="U99" s="135" t="s">
        <v>177</v>
      </c>
      <c r="V99" s="135" t="s">
        <v>178</v>
      </c>
      <c r="W99" s="146" t="s">
        <v>199</v>
      </c>
      <c r="X99" s="146" t="s">
        <v>200</v>
      </c>
      <c r="Y99" s="146" t="s">
        <v>201</v>
      </c>
      <c r="Z99" s="138" t="s">
        <v>194</v>
      </c>
      <c r="AB99" s="328" t="s">
        <v>661</v>
      </c>
      <c r="AC99" s="329" t="s">
        <v>662</v>
      </c>
    </row>
    <row r="100" spans="1:29" x14ac:dyDescent="0.35">
      <c r="A100" s="130">
        <v>1</v>
      </c>
      <c r="B100" s="131" t="str">
        <f>IF(Exploitation!B15="","",Exploitation!B15)</f>
        <v/>
      </c>
      <c r="C100" s="142" t="str">
        <f t="shared" ref="C100:C114" si="71">IF(C75="","",CONCATENATE(C75,"_",F75))</f>
        <v/>
      </c>
      <c r="D100" s="119" t="str">
        <f>IF(ISERROR(VLOOKUP(G75,indicateur_ventilation,2,FALSE)),"",VLOOKUP(G75,indicateur_ventilation,2,FALSE))</f>
        <v/>
      </c>
      <c r="E100" s="119" t="str">
        <f t="shared" ref="E100:E119" si="72">IF(ISERROR(VLOOKUP(H75,indicateur_air,2,FALSE)),"",VLOOKUP(H75,indicateur_air,2,FALSE))</f>
        <v/>
      </c>
      <c r="F100" s="119" t="str">
        <f>IF(ISERROR(VLOOKUP(C100,'Données d''entrée'!$D$332:$N$348,Emissions!D100,FALSE)),"",VLOOKUP(C100,'Données d''entrée'!$D$332:$N$348,Emissions!D100,FALSE))</f>
        <v/>
      </c>
      <c r="G100" s="119" t="str">
        <f>IF(I75="",E100,I75)</f>
        <v/>
      </c>
      <c r="H100" s="142" t="str">
        <f>IF(ISERROR(F100*G100),"",F100*G100)</f>
        <v/>
      </c>
      <c r="I100" s="125">
        <f t="shared" ref="I100:I119" si="73">IF(ISERROR(AM75*$H100),0,AM75*$H100)</f>
        <v>0</v>
      </c>
      <c r="J100" s="125">
        <f t="shared" ref="J100:J119" si="74">IF(ISERROR(AN75*$H100),0,AN75*$H100)</f>
        <v>0</v>
      </c>
      <c r="K100" s="125">
        <f>IF(ISERROR(AO75*$H100*$D$43),0,AO75*$H100*$D$43)</f>
        <v>0</v>
      </c>
      <c r="L100" s="125">
        <f>IF(ISERROR(AP75*$H100*$D$43),0,AP75*$H100*$D$43)</f>
        <v>0</v>
      </c>
      <c r="M100" s="125">
        <f t="shared" ref="M100:M119" si="75">IF(ISERROR(AQ75*$H100),0,AQ75*$H100)</f>
        <v>0</v>
      </c>
      <c r="N100" s="125">
        <f t="shared" ref="N100:N119" si="76">IF(ISERROR(AR75*$H100),0,AR75*$H100)</f>
        <v>0</v>
      </c>
      <c r="O100" s="125">
        <f t="shared" ref="O100:O119" si="77">IF(ISERROR(AS75*$H100),0,AS75*$H100)</f>
        <v>0</v>
      </c>
      <c r="P100" s="125">
        <f t="shared" ref="P100:P119" si="78">IF(ISERROR(AT75*$H100),0,AT75*$H100)</f>
        <v>0</v>
      </c>
      <c r="Q100" s="125">
        <f t="shared" ref="Q100:Q119" si="79">IF(ISERROR(AU75*$H100),0,AU75*$H100)</f>
        <v>0</v>
      </c>
      <c r="R100" s="125">
        <f t="shared" ref="R100:R119" si="80">IF(ISERROR(AV75*$H100),0,AV75*$H100)</f>
        <v>0</v>
      </c>
      <c r="S100" s="125">
        <f t="shared" ref="S100:S119" si="81">IF(ISERROR(AW75*$H100),0,AW75*$H100)</f>
        <v>0</v>
      </c>
      <c r="T100" s="125">
        <f t="shared" ref="T100:T119" si="82">IF(ISERROR(AX75*$H100),0,AX75*$H100)</f>
        <v>0</v>
      </c>
      <c r="U100" s="125">
        <f t="shared" ref="U100:U119" si="83">IF(ISERROR(AY75*$H100),0,AY75*$H100)</f>
        <v>0</v>
      </c>
      <c r="V100" s="125">
        <f t="shared" ref="V100:V119" si="84">IF(ISERROR(AZ75*$H100),0,AZ75*$H100)</f>
        <v>0</v>
      </c>
      <c r="W100" s="125" t="str">
        <f t="shared" ref="W100:W119" si="85">IF(B100="","",SUM(I100,K100,M100,O100,Q100,S100,U100))</f>
        <v/>
      </c>
      <c r="X100" s="125" t="str">
        <f t="shared" ref="X100:X119" si="86">IF(B100="","",SUM(J100,L100,N100,P100,R100,T100,V100))</f>
        <v/>
      </c>
      <c r="Y100" s="125" t="str">
        <f>IF(AND(W100="",X100=""),"",SUM(W100:X100))</f>
        <v/>
      </c>
      <c r="Z100" s="143" t="str">
        <f>IF(ISERROR(SUM(I100:V100)-Y100),"",SUM(I100:V100)-Y100)</f>
        <v/>
      </c>
      <c r="AB100" s="125">
        <f>SUM(I100:N100)</f>
        <v>0</v>
      </c>
      <c r="AC100" s="125">
        <f>SUM(O100:V100)</f>
        <v>0</v>
      </c>
    </row>
    <row r="101" spans="1:29" ht="23.25" customHeight="1" x14ac:dyDescent="0.35">
      <c r="A101" s="130">
        <v>2</v>
      </c>
      <c r="B101" s="131" t="str">
        <f>IF(Exploitation!B16="","",Exploitation!B16)</f>
        <v/>
      </c>
      <c r="C101" s="142" t="str">
        <f t="shared" si="71"/>
        <v/>
      </c>
      <c r="D101" s="119" t="str">
        <f t="shared" ref="D101:D114" si="87">IF(ISERROR(VLOOKUP(G76,indicateur_ventilation,2,FALSE)),"",VLOOKUP(G76,indicateur_ventilation,2,FALSE))</f>
        <v/>
      </c>
      <c r="E101" s="119" t="str">
        <f t="shared" si="72"/>
        <v/>
      </c>
      <c r="F101" s="119" t="str">
        <f>IF(ISERROR(VLOOKUP(C101,'Données d''entrée'!$D$332:$N$348,Emissions!D101,FALSE)),"",VLOOKUP(C101,'Données d''entrée'!$D$332:$N$348,Emissions!D101,FALSE))</f>
        <v/>
      </c>
      <c r="G101" s="119" t="str">
        <f>IF(I76="",E101,I76)</f>
        <v/>
      </c>
      <c r="H101" s="142" t="str">
        <f t="shared" ref="H101:H119" si="88">IF(ISERROR(F101*G101),"",F101*G101)</f>
        <v/>
      </c>
      <c r="I101" s="125">
        <f t="shared" si="73"/>
        <v>0</v>
      </c>
      <c r="J101" s="125">
        <f t="shared" si="74"/>
        <v>0</v>
      </c>
      <c r="K101" s="125">
        <f t="shared" ref="K101:L119" si="89">IF(ISERROR(AO76*$H101*$D$43),0,AO76*$H101*$D$43)</f>
        <v>0</v>
      </c>
      <c r="L101" s="125">
        <f t="shared" si="89"/>
        <v>0</v>
      </c>
      <c r="M101" s="125">
        <f t="shared" si="75"/>
        <v>0</v>
      </c>
      <c r="N101" s="125">
        <f t="shared" si="76"/>
        <v>0</v>
      </c>
      <c r="O101" s="125">
        <f t="shared" si="77"/>
        <v>0</v>
      </c>
      <c r="P101" s="125">
        <f t="shared" si="78"/>
        <v>0</v>
      </c>
      <c r="Q101" s="125">
        <f t="shared" si="79"/>
        <v>0</v>
      </c>
      <c r="R101" s="125">
        <f t="shared" si="80"/>
        <v>0</v>
      </c>
      <c r="S101" s="125">
        <f t="shared" si="81"/>
        <v>0</v>
      </c>
      <c r="T101" s="125">
        <f t="shared" si="82"/>
        <v>0</v>
      </c>
      <c r="U101" s="125">
        <f t="shared" si="83"/>
        <v>0</v>
      </c>
      <c r="V101" s="125">
        <f t="shared" si="84"/>
        <v>0</v>
      </c>
      <c r="W101" s="125" t="str">
        <f t="shared" si="85"/>
        <v/>
      </c>
      <c r="X101" s="125" t="str">
        <f t="shared" si="86"/>
        <v/>
      </c>
      <c r="Y101" s="125" t="str">
        <f t="shared" ref="Y101:Y114" si="90">IF(AND(W101="",X101=""),"",SUM(W101:X101))</f>
        <v/>
      </c>
      <c r="Z101" s="143" t="str">
        <f t="shared" ref="Z101:Z114" si="91">IF(ISERROR(SUM(I101:V101)-Y101),"",SUM(I101:V101)-Y101)</f>
        <v/>
      </c>
      <c r="AB101" s="125">
        <f t="shared" ref="AB101:AB119" si="92">SUM(I101:N101)</f>
        <v>0</v>
      </c>
      <c r="AC101" s="125">
        <f t="shared" ref="AC101:AC119" si="93">SUM(O101:V101)</f>
        <v>0</v>
      </c>
    </row>
    <row r="102" spans="1:29" x14ac:dyDescent="0.35">
      <c r="A102" s="130">
        <v>3</v>
      </c>
      <c r="B102" s="131" t="str">
        <f>IF(Exploitation!B17="","",Exploitation!B17)</f>
        <v/>
      </c>
      <c r="C102" s="142" t="str">
        <f t="shared" si="71"/>
        <v/>
      </c>
      <c r="D102" s="119" t="str">
        <f t="shared" si="87"/>
        <v/>
      </c>
      <c r="E102" s="119" t="str">
        <f t="shared" si="72"/>
        <v/>
      </c>
      <c r="F102" s="119" t="str">
        <f>IF(ISERROR(VLOOKUP(C102,'Données d''entrée'!$D$332:$N$348,Emissions!D102,FALSE)),"",VLOOKUP(C102,'Données d''entrée'!$D$332:$N$348,Emissions!D102,FALSE))</f>
        <v/>
      </c>
      <c r="G102" s="119" t="str">
        <f t="shared" ref="G102:G119" si="94">IF(I77="",E102,I77)</f>
        <v/>
      </c>
      <c r="H102" s="142" t="str">
        <f t="shared" si="88"/>
        <v/>
      </c>
      <c r="I102" s="125">
        <f t="shared" si="73"/>
        <v>0</v>
      </c>
      <c r="J102" s="125">
        <f t="shared" si="74"/>
        <v>0</v>
      </c>
      <c r="K102" s="125">
        <f t="shared" si="89"/>
        <v>0</v>
      </c>
      <c r="L102" s="125">
        <f t="shared" si="89"/>
        <v>0</v>
      </c>
      <c r="M102" s="125">
        <f t="shared" si="75"/>
        <v>0</v>
      </c>
      <c r="N102" s="125">
        <f t="shared" si="76"/>
        <v>0</v>
      </c>
      <c r="O102" s="125">
        <f t="shared" si="77"/>
        <v>0</v>
      </c>
      <c r="P102" s="125">
        <f t="shared" si="78"/>
        <v>0</v>
      </c>
      <c r="Q102" s="125">
        <f t="shared" si="79"/>
        <v>0</v>
      </c>
      <c r="R102" s="125">
        <f t="shared" si="80"/>
        <v>0</v>
      </c>
      <c r="S102" s="125">
        <f t="shared" si="81"/>
        <v>0</v>
      </c>
      <c r="T102" s="125">
        <f t="shared" si="82"/>
        <v>0</v>
      </c>
      <c r="U102" s="125">
        <f t="shared" si="83"/>
        <v>0</v>
      </c>
      <c r="V102" s="125">
        <f t="shared" si="84"/>
        <v>0</v>
      </c>
      <c r="W102" s="125" t="str">
        <f t="shared" si="85"/>
        <v/>
      </c>
      <c r="X102" s="125" t="str">
        <f t="shared" si="86"/>
        <v/>
      </c>
      <c r="Y102" s="125" t="str">
        <f t="shared" si="90"/>
        <v/>
      </c>
      <c r="Z102" s="143" t="str">
        <f t="shared" si="91"/>
        <v/>
      </c>
      <c r="AB102" s="125">
        <f t="shared" si="92"/>
        <v>0</v>
      </c>
      <c r="AC102" s="125">
        <f t="shared" si="93"/>
        <v>0</v>
      </c>
    </row>
    <row r="103" spans="1:29" x14ac:dyDescent="0.35">
      <c r="A103" s="130">
        <v>4</v>
      </c>
      <c r="B103" s="131" t="str">
        <f>IF(Exploitation!B18="","",Exploitation!B18)</f>
        <v/>
      </c>
      <c r="C103" s="142" t="str">
        <f t="shared" si="71"/>
        <v/>
      </c>
      <c r="D103" s="119" t="str">
        <f t="shared" si="87"/>
        <v/>
      </c>
      <c r="E103" s="119" t="str">
        <f t="shared" si="72"/>
        <v/>
      </c>
      <c r="F103" s="119" t="str">
        <f>IF(ISERROR(VLOOKUP(C103,'Données d''entrée'!$D$332:$N$348,Emissions!D103,FALSE)),"",VLOOKUP(C103,'Données d''entrée'!$D$332:$N$348,Emissions!D103,FALSE))</f>
        <v/>
      </c>
      <c r="G103" s="119" t="str">
        <f t="shared" si="94"/>
        <v/>
      </c>
      <c r="H103" s="142" t="str">
        <f t="shared" si="88"/>
        <v/>
      </c>
      <c r="I103" s="125">
        <f t="shared" si="73"/>
        <v>0</v>
      </c>
      <c r="J103" s="125">
        <f t="shared" si="74"/>
        <v>0</v>
      </c>
      <c r="K103" s="125">
        <f t="shared" si="89"/>
        <v>0</v>
      </c>
      <c r="L103" s="125">
        <f t="shared" si="89"/>
        <v>0</v>
      </c>
      <c r="M103" s="125">
        <f t="shared" si="75"/>
        <v>0</v>
      </c>
      <c r="N103" s="125">
        <f t="shared" si="76"/>
        <v>0</v>
      </c>
      <c r="O103" s="125">
        <f t="shared" si="77"/>
        <v>0</v>
      </c>
      <c r="P103" s="125">
        <f t="shared" si="78"/>
        <v>0</v>
      </c>
      <c r="Q103" s="125">
        <f t="shared" si="79"/>
        <v>0</v>
      </c>
      <c r="R103" s="125">
        <f t="shared" si="80"/>
        <v>0</v>
      </c>
      <c r="S103" s="125">
        <f t="shared" si="81"/>
        <v>0</v>
      </c>
      <c r="T103" s="125">
        <f t="shared" si="82"/>
        <v>0</v>
      </c>
      <c r="U103" s="125">
        <f t="shared" si="83"/>
        <v>0</v>
      </c>
      <c r="V103" s="125">
        <f t="shared" si="84"/>
        <v>0</v>
      </c>
      <c r="W103" s="125" t="str">
        <f t="shared" si="85"/>
        <v/>
      </c>
      <c r="X103" s="125" t="str">
        <f t="shared" si="86"/>
        <v/>
      </c>
      <c r="Y103" s="125" t="str">
        <f t="shared" si="90"/>
        <v/>
      </c>
      <c r="Z103" s="143" t="str">
        <f t="shared" si="91"/>
        <v/>
      </c>
      <c r="AB103" s="125">
        <f t="shared" si="92"/>
        <v>0</v>
      </c>
      <c r="AC103" s="125">
        <f t="shared" si="93"/>
        <v>0</v>
      </c>
    </row>
    <row r="104" spans="1:29" x14ac:dyDescent="0.35">
      <c r="A104" s="130">
        <v>5</v>
      </c>
      <c r="B104" s="131" t="str">
        <f>IF(Exploitation!B19="","",Exploitation!B19)</f>
        <v/>
      </c>
      <c r="C104" s="142" t="str">
        <f t="shared" si="71"/>
        <v/>
      </c>
      <c r="D104" s="119" t="str">
        <f t="shared" si="87"/>
        <v/>
      </c>
      <c r="E104" s="119" t="str">
        <f t="shared" si="72"/>
        <v/>
      </c>
      <c r="F104" s="119" t="str">
        <f>IF(ISERROR(VLOOKUP(C104,'Données d''entrée'!$D$332:$N$348,Emissions!D104,FALSE)),"",VLOOKUP(C104,'Données d''entrée'!$D$332:$N$348,Emissions!D104,FALSE))</f>
        <v/>
      </c>
      <c r="G104" s="119" t="str">
        <f t="shared" si="94"/>
        <v/>
      </c>
      <c r="H104" s="142" t="str">
        <f t="shared" si="88"/>
        <v/>
      </c>
      <c r="I104" s="125">
        <f t="shared" si="73"/>
        <v>0</v>
      </c>
      <c r="J104" s="125">
        <f t="shared" si="74"/>
        <v>0</v>
      </c>
      <c r="K104" s="125">
        <f t="shared" si="89"/>
        <v>0</v>
      </c>
      <c r="L104" s="125">
        <f t="shared" si="89"/>
        <v>0</v>
      </c>
      <c r="M104" s="125">
        <f t="shared" si="75"/>
        <v>0</v>
      </c>
      <c r="N104" s="125">
        <f t="shared" si="76"/>
        <v>0</v>
      </c>
      <c r="O104" s="125">
        <f t="shared" si="77"/>
        <v>0</v>
      </c>
      <c r="P104" s="125">
        <f t="shared" si="78"/>
        <v>0</v>
      </c>
      <c r="Q104" s="125">
        <f t="shared" si="79"/>
        <v>0</v>
      </c>
      <c r="R104" s="125">
        <f t="shared" si="80"/>
        <v>0</v>
      </c>
      <c r="S104" s="125">
        <f t="shared" si="81"/>
        <v>0</v>
      </c>
      <c r="T104" s="125">
        <f t="shared" si="82"/>
        <v>0</v>
      </c>
      <c r="U104" s="125">
        <f t="shared" si="83"/>
        <v>0</v>
      </c>
      <c r="V104" s="125">
        <f t="shared" si="84"/>
        <v>0</v>
      </c>
      <c r="W104" s="125" t="str">
        <f t="shared" si="85"/>
        <v/>
      </c>
      <c r="X104" s="125" t="str">
        <f t="shared" si="86"/>
        <v/>
      </c>
      <c r="Y104" s="125" t="str">
        <f t="shared" si="90"/>
        <v/>
      </c>
      <c r="Z104" s="143" t="str">
        <f t="shared" si="91"/>
        <v/>
      </c>
      <c r="AB104" s="125">
        <f t="shared" si="92"/>
        <v>0</v>
      </c>
      <c r="AC104" s="125">
        <f t="shared" si="93"/>
        <v>0</v>
      </c>
    </row>
    <row r="105" spans="1:29" x14ac:dyDescent="0.35">
      <c r="A105" s="130">
        <v>6</v>
      </c>
      <c r="B105" s="131" t="str">
        <f>IF(Exploitation!B20="","",Exploitation!B20)</f>
        <v/>
      </c>
      <c r="C105" s="142" t="str">
        <f t="shared" si="71"/>
        <v/>
      </c>
      <c r="D105" s="119" t="str">
        <f t="shared" si="87"/>
        <v/>
      </c>
      <c r="E105" s="119" t="str">
        <f t="shared" si="72"/>
        <v/>
      </c>
      <c r="F105" s="119" t="str">
        <f>IF(ISERROR(VLOOKUP(C105,'Données d''entrée'!$D$332:$N$348,Emissions!D105,FALSE)),"",VLOOKUP(C105,'Données d''entrée'!$D$332:$N$348,Emissions!D105,FALSE))</f>
        <v/>
      </c>
      <c r="G105" s="119" t="str">
        <f t="shared" si="94"/>
        <v/>
      </c>
      <c r="H105" s="142" t="str">
        <f t="shared" si="88"/>
        <v/>
      </c>
      <c r="I105" s="125">
        <f t="shared" si="73"/>
        <v>0</v>
      </c>
      <c r="J105" s="125">
        <f t="shared" si="74"/>
        <v>0</v>
      </c>
      <c r="K105" s="125">
        <f t="shared" si="89"/>
        <v>0</v>
      </c>
      <c r="L105" s="125">
        <f t="shared" si="89"/>
        <v>0</v>
      </c>
      <c r="M105" s="125">
        <f t="shared" si="75"/>
        <v>0</v>
      </c>
      <c r="N105" s="125">
        <f t="shared" si="76"/>
        <v>0</v>
      </c>
      <c r="O105" s="125">
        <f t="shared" si="77"/>
        <v>0</v>
      </c>
      <c r="P105" s="125">
        <f t="shared" si="78"/>
        <v>0</v>
      </c>
      <c r="Q105" s="125">
        <f t="shared" si="79"/>
        <v>0</v>
      </c>
      <c r="R105" s="125">
        <f t="shared" si="80"/>
        <v>0</v>
      </c>
      <c r="S105" s="125">
        <f t="shared" si="81"/>
        <v>0</v>
      </c>
      <c r="T105" s="125">
        <f t="shared" si="82"/>
        <v>0</v>
      </c>
      <c r="U105" s="125">
        <f t="shared" si="83"/>
        <v>0</v>
      </c>
      <c r="V105" s="125">
        <f t="shared" si="84"/>
        <v>0</v>
      </c>
      <c r="W105" s="125" t="str">
        <f t="shared" si="85"/>
        <v/>
      </c>
      <c r="X105" s="125" t="str">
        <f t="shared" si="86"/>
        <v/>
      </c>
      <c r="Y105" s="125" t="str">
        <f t="shared" si="90"/>
        <v/>
      </c>
      <c r="Z105" s="143" t="str">
        <f t="shared" si="91"/>
        <v/>
      </c>
      <c r="AB105" s="125">
        <f t="shared" si="92"/>
        <v>0</v>
      </c>
      <c r="AC105" s="125">
        <f t="shared" si="93"/>
        <v>0</v>
      </c>
    </row>
    <row r="106" spans="1:29" x14ac:dyDescent="0.35">
      <c r="A106" s="130">
        <v>7</v>
      </c>
      <c r="B106" s="131" t="str">
        <f>IF(Exploitation!B21="","",Exploitation!B21)</f>
        <v/>
      </c>
      <c r="C106" s="142" t="str">
        <f t="shared" si="71"/>
        <v/>
      </c>
      <c r="D106" s="119" t="str">
        <f t="shared" si="87"/>
        <v/>
      </c>
      <c r="E106" s="119" t="str">
        <f t="shared" si="72"/>
        <v/>
      </c>
      <c r="F106" s="119" t="str">
        <f>IF(ISERROR(VLOOKUP(C106,'Données d''entrée'!$D$332:$N$348,Emissions!D106,FALSE)),"",VLOOKUP(C106,'Données d''entrée'!$D$332:$N$348,Emissions!D106,FALSE))</f>
        <v/>
      </c>
      <c r="G106" s="119" t="str">
        <f t="shared" si="94"/>
        <v/>
      </c>
      <c r="H106" s="142" t="str">
        <f t="shared" si="88"/>
        <v/>
      </c>
      <c r="I106" s="125">
        <f t="shared" si="73"/>
        <v>0</v>
      </c>
      <c r="J106" s="125">
        <f t="shared" si="74"/>
        <v>0</v>
      </c>
      <c r="K106" s="125">
        <f t="shared" si="89"/>
        <v>0</v>
      </c>
      <c r="L106" s="125">
        <f t="shared" si="89"/>
        <v>0</v>
      </c>
      <c r="M106" s="125">
        <f t="shared" si="75"/>
        <v>0</v>
      </c>
      <c r="N106" s="125">
        <f t="shared" si="76"/>
        <v>0</v>
      </c>
      <c r="O106" s="125">
        <f t="shared" si="77"/>
        <v>0</v>
      </c>
      <c r="P106" s="125">
        <f t="shared" si="78"/>
        <v>0</v>
      </c>
      <c r="Q106" s="125">
        <f t="shared" si="79"/>
        <v>0</v>
      </c>
      <c r="R106" s="125">
        <f t="shared" si="80"/>
        <v>0</v>
      </c>
      <c r="S106" s="125">
        <f t="shared" si="81"/>
        <v>0</v>
      </c>
      <c r="T106" s="125">
        <f t="shared" si="82"/>
        <v>0</v>
      </c>
      <c r="U106" s="125">
        <f t="shared" si="83"/>
        <v>0</v>
      </c>
      <c r="V106" s="125">
        <f t="shared" si="84"/>
        <v>0</v>
      </c>
      <c r="W106" s="125" t="str">
        <f t="shared" si="85"/>
        <v/>
      </c>
      <c r="X106" s="125" t="str">
        <f t="shared" si="86"/>
        <v/>
      </c>
      <c r="Y106" s="125" t="str">
        <f t="shared" si="90"/>
        <v/>
      </c>
      <c r="Z106" s="143" t="str">
        <f t="shared" si="91"/>
        <v/>
      </c>
      <c r="AB106" s="125">
        <f t="shared" si="92"/>
        <v>0</v>
      </c>
      <c r="AC106" s="125">
        <f t="shared" si="93"/>
        <v>0</v>
      </c>
    </row>
    <row r="107" spans="1:29" x14ac:dyDescent="0.35">
      <c r="A107" s="130">
        <v>8</v>
      </c>
      <c r="B107" s="131" t="str">
        <f>IF(Exploitation!B22="","",Exploitation!B22)</f>
        <v/>
      </c>
      <c r="C107" s="142" t="str">
        <f t="shared" si="71"/>
        <v/>
      </c>
      <c r="D107" s="119" t="str">
        <f t="shared" si="87"/>
        <v/>
      </c>
      <c r="E107" s="119" t="str">
        <f t="shared" si="72"/>
        <v/>
      </c>
      <c r="F107" s="119" t="str">
        <f>IF(ISERROR(VLOOKUP(C107,'Données d''entrée'!$D$332:$N$348,Emissions!D107,FALSE)),"",VLOOKUP(C107,'Données d''entrée'!$D$332:$N$348,Emissions!D107,FALSE))</f>
        <v/>
      </c>
      <c r="G107" s="119" t="str">
        <f t="shared" si="94"/>
        <v/>
      </c>
      <c r="H107" s="142" t="str">
        <f t="shared" si="88"/>
        <v/>
      </c>
      <c r="I107" s="125">
        <f t="shared" si="73"/>
        <v>0</v>
      </c>
      <c r="J107" s="125">
        <f t="shared" si="74"/>
        <v>0</v>
      </c>
      <c r="K107" s="125">
        <f t="shared" si="89"/>
        <v>0</v>
      </c>
      <c r="L107" s="125">
        <f t="shared" si="89"/>
        <v>0</v>
      </c>
      <c r="M107" s="125">
        <f t="shared" si="75"/>
        <v>0</v>
      </c>
      <c r="N107" s="125">
        <f t="shared" si="76"/>
        <v>0</v>
      </c>
      <c r="O107" s="125">
        <f t="shared" si="77"/>
        <v>0</v>
      </c>
      <c r="P107" s="125">
        <f t="shared" si="78"/>
        <v>0</v>
      </c>
      <c r="Q107" s="125">
        <f t="shared" si="79"/>
        <v>0</v>
      </c>
      <c r="R107" s="125">
        <f t="shared" si="80"/>
        <v>0</v>
      </c>
      <c r="S107" s="125">
        <f t="shared" si="81"/>
        <v>0</v>
      </c>
      <c r="T107" s="125">
        <f t="shared" si="82"/>
        <v>0</v>
      </c>
      <c r="U107" s="125">
        <f t="shared" si="83"/>
        <v>0</v>
      </c>
      <c r="V107" s="125">
        <f t="shared" si="84"/>
        <v>0</v>
      </c>
      <c r="W107" s="125" t="str">
        <f t="shared" si="85"/>
        <v/>
      </c>
      <c r="X107" s="125" t="str">
        <f t="shared" si="86"/>
        <v/>
      </c>
      <c r="Y107" s="125" t="str">
        <f t="shared" si="90"/>
        <v/>
      </c>
      <c r="Z107" s="143" t="str">
        <f t="shared" si="91"/>
        <v/>
      </c>
      <c r="AB107" s="125">
        <f t="shared" si="92"/>
        <v>0</v>
      </c>
      <c r="AC107" s="125">
        <f t="shared" si="93"/>
        <v>0</v>
      </c>
    </row>
    <row r="108" spans="1:29" x14ac:dyDescent="0.35">
      <c r="A108" s="130">
        <v>9</v>
      </c>
      <c r="B108" s="131" t="str">
        <f>IF(Exploitation!B23="","",Exploitation!B23)</f>
        <v/>
      </c>
      <c r="C108" s="142" t="str">
        <f t="shared" si="71"/>
        <v/>
      </c>
      <c r="D108" s="119" t="str">
        <f t="shared" si="87"/>
        <v/>
      </c>
      <c r="E108" s="119" t="str">
        <f t="shared" si="72"/>
        <v/>
      </c>
      <c r="F108" s="119" t="str">
        <f>IF(ISERROR(VLOOKUP(C108,'Données d''entrée'!$D$332:$N$348,Emissions!D108,FALSE)),"",VLOOKUP(C108,'Données d''entrée'!$D$332:$N$348,Emissions!D108,FALSE))</f>
        <v/>
      </c>
      <c r="G108" s="119" t="str">
        <f t="shared" si="94"/>
        <v/>
      </c>
      <c r="H108" s="142" t="str">
        <f t="shared" si="88"/>
        <v/>
      </c>
      <c r="I108" s="125">
        <f t="shared" si="73"/>
        <v>0</v>
      </c>
      <c r="J108" s="125">
        <f t="shared" si="74"/>
        <v>0</v>
      </c>
      <c r="K108" s="125">
        <f t="shared" si="89"/>
        <v>0</v>
      </c>
      <c r="L108" s="125">
        <f t="shared" si="89"/>
        <v>0</v>
      </c>
      <c r="M108" s="125">
        <f t="shared" si="75"/>
        <v>0</v>
      </c>
      <c r="N108" s="125">
        <f t="shared" si="76"/>
        <v>0</v>
      </c>
      <c r="O108" s="125">
        <f t="shared" si="77"/>
        <v>0</v>
      </c>
      <c r="P108" s="125">
        <f t="shared" si="78"/>
        <v>0</v>
      </c>
      <c r="Q108" s="125">
        <f t="shared" si="79"/>
        <v>0</v>
      </c>
      <c r="R108" s="125">
        <f t="shared" si="80"/>
        <v>0</v>
      </c>
      <c r="S108" s="125">
        <f t="shared" si="81"/>
        <v>0</v>
      </c>
      <c r="T108" s="125">
        <f t="shared" si="82"/>
        <v>0</v>
      </c>
      <c r="U108" s="125">
        <f t="shared" si="83"/>
        <v>0</v>
      </c>
      <c r="V108" s="125">
        <f t="shared" si="84"/>
        <v>0</v>
      </c>
      <c r="W108" s="125" t="str">
        <f t="shared" si="85"/>
        <v/>
      </c>
      <c r="X108" s="125" t="str">
        <f t="shared" si="86"/>
        <v/>
      </c>
      <c r="Y108" s="125" t="str">
        <f t="shared" si="90"/>
        <v/>
      </c>
      <c r="Z108" s="143" t="str">
        <f t="shared" si="91"/>
        <v/>
      </c>
      <c r="AB108" s="125">
        <f t="shared" si="92"/>
        <v>0</v>
      </c>
      <c r="AC108" s="125">
        <f t="shared" si="93"/>
        <v>0</v>
      </c>
    </row>
    <row r="109" spans="1:29" x14ac:dyDescent="0.35">
      <c r="A109" s="130">
        <v>10</v>
      </c>
      <c r="B109" s="131" t="str">
        <f>IF(Exploitation!B24="","",Exploitation!B24)</f>
        <v/>
      </c>
      <c r="C109" s="142" t="str">
        <f t="shared" si="71"/>
        <v/>
      </c>
      <c r="D109" s="119" t="str">
        <f t="shared" si="87"/>
        <v/>
      </c>
      <c r="E109" s="119" t="str">
        <f t="shared" si="72"/>
        <v/>
      </c>
      <c r="F109" s="119" t="str">
        <f>IF(ISERROR(VLOOKUP(C109,'Données d''entrée'!$D$332:$N$348,Emissions!D109,FALSE)),"",VLOOKUP(C109,'Données d''entrée'!$D$332:$N$348,Emissions!D109,FALSE))</f>
        <v/>
      </c>
      <c r="G109" s="119" t="str">
        <f t="shared" si="94"/>
        <v/>
      </c>
      <c r="H109" s="142" t="str">
        <f t="shared" si="88"/>
        <v/>
      </c>
      <c r="I109" s="125">
        <f t="shared" si="73"/>
        <v>0</v>
      </c>
      <c r="J109" s="125">
        <f t="shared" si="74"/>
        <v>0</v>
      </c>
      <c r="K109" s="125">
        <f t="shared" si="89"/>
        <v>0</v>
      </c>
      <c r="L109" s="125">
        <f t="shared" si="89"/>
        <v>0</v>
      </c>
      <c r="M109" s="125">
        <f t="shared" si="75"/>
        <v>0</v>
      </c>
      <c r="N109" s="125">
        <f t="shared" si="76"/>
        <v>0</v>
      </c>
      <c r="O109" s="125">
        <f t="shared" si="77"/>
        <v>0</v>
      </c>
      <c r="P109" s="125">
        <f t="shared" si="78"/>
        <v>0</v>
      </c>
      <c r="Q109" s="125">
        <f t="shared" si="79"/>
        <v>0</v>
      </c>
      <c r="R109" s="125">
        <f t="shared" si="80"/>
        <v>0</v>
      </c>
      <c r="S109" s="125">
        <f t="shared" si="81"/>
        <v>0</v>
      </c>
      <c r="T109" s="125">
        <f t="shared" si="82"/>
        <v>0</v>
      </c>
      <c r="U109" s="125">
        <f t="shared" si="83"/>
        <v>0</v>
      </c>
      <c r="V109" s="125">
        <f t="shared" si="84"/>
        <v>0</v>
      </c>
      <c r="W109" s="125" t="str">
        <f t="shared" si="85"/>
        <v/>
      </c>
      <c r="X109" s="125" t="str">
        <f t="shared" si="86"/>
        <v/>
      </c>
      <c r="Y109" s="125" t="str">
        <f t="shared" si="90"/>
        <v/>
      </c>
      <c r="Z109" s="143" t="str">
        <f t="shared" si="91"/>
        <v/>
      </c>
      <c r="AB109" s="125">
        <f t="shared" si="92"/>
        <v>0</v>
      </c>
      <c r="AC109" s="125">
        <f t="shared" si="93"/>
        <v>0</v>
      </c>
    </row>
    <row r="110" spans="1:29" x14ac:dyDescent="0.35">
      <c r="A110" s="130">
        <v>11</v>
      </c>
      <c r="B110" s="131" t="str">
        <f>IF(Exploitation!B25="","",Exploitation!B25)</f>
        <v/>
      </c>
      <c r="C110" s="142" t="str">
        <f t="shared" si="71"/>
        <v/>
      </c>
      <c r="D110" s="119" t="str">
        <f t="shared" si="87"/>
        <v/>
      </c>
      <c r="E110" s="119" t="str">
        <f t="shared" si="72"/>
        <v/>
      </c>
      <c r="F110" s="119" t="str">
        <f>IF(ISERROR(VLOOKUP(C110,'Données d''entrée'!$D$332:$N$348,Emissions!D110,FALSE)),"",VLOOKUP(C110,'Données d''entrée'!$D$332:$N$348,Emissions!D110,FALSE))</f>
        <v/>
      </c>
      <c r="G110" s="119" t="str">
        <f t="shared" si="94"/>
        <v/>
      </c>
      <c r="H110" s="142" t="str">
        <f t="shared" si="88"/>
        <v/>
      </c>
      <c r="I110" s="125">
        <f t="shared" si="73"/>
        <v>0</v>
      </c>
      <c r="J110" s="125">
        <f t="shared" si="74"/>
        <v>0</v>
      </c>
      <c r="K110" s="125">
        <f t="shared" si="89"/>
        <v>0</v>
      </c>
      <c r="L110" s="125">
        <f t="shared" si="89"/>
        <v>0</v>
      </c>
      <c r="M110" s="125">
        <f t="shared" si="75"/>
        <v>0</v>
      </c>
      <c r="N110" s="125">
        <f t="shared" si="76"/>
        <v>0</v>
      </c>
      <c r="O110" s="125">
        <f t="shared" si="77"/>
        <v>0</v>
      </c>
      <c r="P110" s="125">
        <f t="shared" si="78"/>
        <v>0</v>
      </c>
      <c r="Q110" s="125">
        <f t="shared" si="79"/>
        <v>0</v>
      </c>
      <c r="R110" s="125">
        <f t="shared" si="80"/>
        <v>0</v>
      </c>
      <c r="S110" s="125">
        <f t="shared" si="81"/>
        <v>0</v>
      </c>
      <c r="T110" s="125">
        <f t="shared" si="82"/>
        <v>0</v>
      </c>
      <c r="U110" s="125">
        <f t="shared" si="83"/>
        <v>0</v>
      </c>
      <c r="V110" s="125">
        <f t="shared" si="84"/>
        <v>0</v>
      </c>
      <c r="W110" s="125" t="str">
        <f t="shared" si="85"/>
        <v/>
      </c>
      <c r="X110" s="125" t="str">
        <f t="shared" si="86"/>
        <v/>
      </c>
      <c r="Y110" s="125" t="str">
        <f t="shared" si="90"/>
        <v/>
      </c>
      <c r="Z110" s="143" t="str">
        <f t="shared" si="91"/>
        <v/>
      </c>
      <c r="AB110" s="125">
        <f t="shared" si="92"/>
        <v>0</v>
      </c>
      <c r="AC110" s="125">
        <f t="shared" si="93"/>
        <v>0</v>
      </c>
    </row>
    <row r="111" spans="1:29" x14ac:dyDescent="0.35">
      <c r="A111" s="130">
        <v>12</v>
      </c>
      <c r="B111" s="131" t="str">
        <f>IF(Exploitation!B26="","",Exploitation!B26)</f>
        <v/>
      </c>
      <c r="C111" s="142" t="str">
        <f t="shared" si="71"/>
        <v/>
      </c>
      <c r="D111" s="119" t="str">
        <f t="shared" si="87"/>
        <v/>
      </c>
      <c r="E111" s="119" t="str">
        <f t="shared" si="72"/>
        <v/>
      </c>
      <c r="F111" s="119" t="str">
        <f>IF(ISERROR(VLOOKUP(C111,'Données d''entrée'!$D$332:$N$348,Emissions!D111,FALSE)),"",VLOOKUP(C111,'Données d''entrée'!$D$332:$N$348,Emissions!D111,FALSE))</f>
        <v/>
      </c>
      <c r="G111" s="119" t="str">
        <f t="shared" si="94"/>
        <v/>
      </c>
      <c r="H111" s="142" t="str">
        <f t="shared" si="88"/>
        <v/>
      </c>
      <c r="I111" s="125">
        <f t="shared" si="73"/>
        <v>0</v>
      </c>
      <c r="J111" s="125">
        <f t="shared" si="74"/>
        <v>0</v>
      </c>
      <c r="K111" s="125">
        <f t="shared" si="89"/>
        <v>0</v>
      </c>
      <c r="L111" s="125">
        <f t="shared" si="89"/>
        <v>0</v>
      </c>
      <c r="M111" s="125">
        <f t="shared" si="75"/>
        <v>0</v>
      </c>
      <c r="N111" s="125">
        <f t="shared" si="76"/>
        <v>0</v>
      </c>
      <c r="O111" s="125">
        <f t="shared" si="77"/>
        <v>0</v>
      </c>
      <c r="P111" s="125">
        <f t="shared" si="78"/>
        <v>0</v>
      </c>
      <c r="Q111" s="125">
        <f t="shared" si="79"/>
        <v>0</v>
      </c>
      <c r="R111" s="125">
        <f t="shared" si="80"/>
        <v>0</v>
      </c>
      <c r="S111" s="125">
        <f t="shared" si="81"/>
        <v>0</v>
      </c>
      <c r="T111" s="125">
        <f t="shared" si="82"/>
        <v>0</v>
      </c>
      <c r="U111" s="125">
        <f t="shared" si="83"/>
        <v>0</v>
      </c>
      <c r="V111" s="125">
        <f t="shared" si="84"/>
        <v>0</v>
      </c>
      <c r="W111" s="125" t="str">
        <f t="shared" si="85"/>
        <v/>
      </c>
      <c r="X111" s="125" t="str">
        <f t="shared" si="86"/>
        <v/>
      </c>
      <c r="Y111" s="125" t="str">
        <f t="shared" si="90"/>
        <v/>
      </c>
      <c r="Z111" s="143" t="str">
        <f t="shared" si="91"/>
        <v/>
      </c>
      <c r="AB111" s="125">
        <f t="shared" si="92"/>
        <v>0</v>
      </c>
      <c r="AC111" s="125">
        <f t="shared" si="93"/>
        <v>0</v>
      </c>
    </row>
    <row r="112" spans="1:29" x14ac:dyDescent="0.35">
      <c r="A112" s="130">
        <v>13</v>
      </c>
      <c r="B112" s="131" t="str">
        <f>IF(Exploitation!B27="","",Exploitation!B27)</f>
        <v/>
      </c>
      <c r="C112" s="142" t="str">
        <f t="shared" si="71"/>
        <v/>
      </c>
      <c r="D112" s="119" t="str">
        <f t="shared" si="87"/>
        <v/>
      </c>
      <c r="E112" s="119" t="str">
        <f t="shared" si="72"/>
        <v/>
      </c>
      <c r="F112" s="119" t="str">
        <f>IF(ISERROR(VLOOKUP(C112,'Données d''entrée'!$D$332:$N$348,Emissions!D112,FALSE)),"",VLOOKUP(C112,'Données d''entrée'!$D$332:$N$348,Emissions!D112,FALSE))</f>
        <v/>
      </c>
      <c r="G112" s="119" t="str">
        <f t="shared" si="94"/>
        <v/>
      </c>
      <c r="H112" s="142" t="str">
        <f t="shared" si="88"/>
        <v/>
      </c>
      <c r="I112" s="125">
        <f t="shared" si="73"/>
        <v>0</v>
      </c>
      <c r="J112" s="125">
        <f t="shared" si="74"/>
        <v>0</v>
      </c>
      <c r="K112" s="125">
        <f t="shared" si="89"/>
        <v>0</v>
      </c>
      <c r="L112" s="125">
        <f t="shared" si="89"/>
        <v>0</v>
      </c>
      <c r="M112" s="125">
        <f t="shared" si="75"/>
        <v>0</v>
      </c>
      <c r="N112" s="125">
        <f t="shared" si="76"/>
        <v>0</v>
      </c>
      <c r="O112" s="125">
        <f t="shared" si="77"/>
        <v>0</v>
      </c>
      <c r="P112" s="125">
        <f t="shared" si="78"/>
        <v>0</v>
      </c>
      <c r="Q112" s="125">
        <f t="shared" si="79"/>
        <v>0</v>
      </c>
      <c r="R112" s="125">
        <f t="shared" si="80"/>
        <v>0</v>
      </c>
      <c r="S112" s="125">
        <f t="shared" si="81"/>
        <v>0</v>
      </c>
      <c r="T112" s="125">
        <f t="shared" si="82"/>
        <v>0</v>
      </c>
      <c r="U112" s="125">
        <f t="shared" si="83"/>
        <v>0</v>
      </c>
      <c r="V112" s="125">
        <f t="shared" si="84"/>
        <v>0</v>
      </c>
      <c r="W112" s="125" t="str">
        <f t="shared" si="85"/>
        <v/>
      </c>
      <c r="X112" s="125" t="str">
        <f t="shared" si="86"/>
        <v/>
      </c>
      <c r="Y112" s="125" t="str">
        <f t="shared" si="90"/>
        <v/>
      </c>
      <c r="Z112" s="143" t="str">
        <f t="shared" si="91"/>
        <v/>
      </c>
      <c r="AB112" s="125">
        <f t="shared" si="92"/>
        <v>0</v>
      </c>
      <c r="AC112" s="125">
        <f t="shared" si="93"/>
        <v>0</v>
      </c>
    </row>
    <row r="113" spans="1:184" x14ac:dyDescent="0.35">
      <c r="A113" s="130">
        <v>14</v>
      </c>
      <c r="B113" s="131" t="str">
        <f>IF(Exploitation!B28="","",Exploitation!B28)</f>
        <v/>
      </c>
      <c r="C113" s="142" t="str">
        <f t="shared" si="71"/>
        <v/>
      </c>
      <c r="D113" s="119" t="str">
        <f t="shared" si="87"/>
        <v/>
      </c>
      <c r="E113" s="119" t="str">
        <f t="shared" si="72"/>
        <v/>
      </c>
      <c r="F113" s="119" t="str">
        <f>IF(ISERROR(VLOOKUP(C113,'Données d''entrée'!$D$332:$N$348,Emissions!D113,FALSE)),"",VLOOKUP(C113,'Données d''entrée'!$D$332:$N$348,Emissions!D113,FALSE))</f>
        <v/>
      </c>
      <c r="G113" s="119" t="str">
        <f t="shared" si="94"/>
        <v/>
      </c>
      <c r="H113" s="142" t="str">
        <f t="shared" si="88"/>
        <v/>
      </c>
      <c r="I113" s="125">
        <f t="shared" si="73"/>
        <v>0</v>
      </c>
      <c r="J113" s="125">
        <f t="shared" si="74"/>
        <v>0</v>
      </c>
      <c r="K113" s="125">
        <f t="shared" si="89"/>
        <v>0</v>
      </c>
      <c r="L113" s="125">
        <f t="shared" si="89"/>
        <v>0</v>
      </c>
      <c r="M113" s="125">
        <f t="shared" si="75"/>
        <v>0</v>
      </c>
      <c r="N113" s="125">
        <f t="shared" si="76"/>
        <v>0</v>
      </c>
      <c r="O113" s="125">
        <f t="shared" si="77"/>
        <v>0</v>
      </c>
      <c r="P113" s="125">
        <f t="shared" si="78"/>
        <v>0</v>
      </c>
      <c r="Q113" s="125">
        <f t="shared" si="79"/>
        <v>0</v>
      </c>
      <c r="R113" s="125">
        <f t="shared" si="80"/>
        <v>0</v>
      </c>
      <c r="S113" s="125">
        <f t="shared" si="81"/>
        <v>0</v>
      </c>
      <c r="T113" s="125">
        <f t="shared" si="82"/>
        <v>0</v>
      </c>
      <c r="U113" s="125">
        <f t="shared" si="83"/>
        <v>0</v>
      </c>
      <c r="V113" s="125">
        <f t="shared" si="84"/>
        <v>0</v>
      </c>
      <c r="W113" s="125" t="str">
        <f t="shared" si="85"/>
        <v/>
      </c>
      <c r="X113" s="125" t="str">
        <f t="shared" si="86"/>
        <v/>
      </c>
      <c r="Y113" s="125" t="str">
        <f t="shared" si="90"/>
        <v/>
      </c>
      <c r="Z113" s="143" t="str">
        <f t="shared" si="91"/>
        <v/>
      </c>
      <c r="AB113" s="125">
        <f t="shared" si="92"/>
        <v>0</v>
      </c>
      <c r="AC113" s="125">
        <f t="shared" si="93"/>
        <v>0</v>
      </c>
    </row>
    <row r="114" spans="1:184" x14ac:dyDescent="0.35">
      <c r="A114" s="130">
        <v>15</v>
      </c>
      <c r="B114" s="131" t="str">
        <f>IF(Exploitation!B29="","",Exploitation!B29)</f>
        <v/>
      </c>
      <c r="C114" s="142" t="str">
        <f t="shared" si="71"/>
        <v/>
      </c>
      <c r="D114" s="119" t="str">
        <f t="shared" si="87"/>
        <v/>
      </c>
      <c r="E114" s="119" t="str">
        <f t="shared" si="72"/>
        <v/>
      </c>
      <c r="F114" s="119" t="str">
        <f>IF(ISERROR(VLOOKUP(C114,'Données d''entrée'!$D$332:$N$348,Emissions!D114,FALSE)),"",VLOOKUP(C114,'Données d''entrée'!$D$332:$N$348,Emissions!D114,FALSE))</f>
        <v/>
      </c>
      <c r="G114" s="119" t="str">
        <f t="shared" si="94"/>
        <v/>
      </c>
      <c r="H114" s="142" t="str">
        <f t="shared" si="88"/>
        <v/>
      </c>
      <c r="I114" s="125">
        <f t="shared" si="73"/>
        <v>0</v>
      </c>
      <c r="J114" s="125">
        <f t="shared" si="74"/>
        <v>0</v>
      </c>
      <c r="K114" s="125">
        <f t="shared" si="89"/>
        <v>0</v>
      </c>
      <c r="L114" s="125">
        <f t="shared" si="89"/>
        <v>0</v>
      </c>
      <c r="M114" s="125">
        <f t="shared" si="75"/>
        <v>0</v>
      </c>
      <c r="N114" s="125">
        <f t="shared" si="76"/>
        <v>0</v>
      </c>
      <c r="O114" s="125">
        <f t="shared" si="77"/>
        <v>0</v>
      </c>
      <c r="P114" s="125">
        <f t="shared" si="78"/>
        <v>0</v>
      </c>
      <c r="Q114" s="125">
        <f t="shared" si="79"/>
        <v>0</v>
      </c>
      <c r="R114" s="125">
        <f t="shared" si="80"/>
        <v>0</v>
      </c>
      <c r="S114" s="125">
        <f t="shared" si="81"/>
        <v>0</v>
      </c>
      <c r="T114" s="125">
        <f t="shared" si="82"/>
        <v>0</v>
      </c>
      <c r="U114" s="125">
        <f t="shared" si="83"/>
        <v>0</v>
      </c>
      <c r="V114" s="125">
        <f t="shared" si="84"/>
        <v>0</v>
      </c>
      <c r="W114" s="125" t="str">
        <f t="shared" si="85"/>
        <v/>
      </c>
      <c r="X114" s="125" t="str">
        <f t="shared" si="86"/>
        <v/>
      </c>
      <c r="Y114" s="125" t="str">
        <f t="shared" si="90"/>
        <v/>
      </c>
      <c r="Z114" s="143" t="str">
        <f t="shared" si="91"/>
        <v/>
      </c>
      <c r="AB114" s="125">
        <f t="shared" si="92"/>
        <v>0</v>
      </c>
      <c r="AC114" s="125">
        <f t="shared" si="93"/>
        <v>0</v>
      </c>
      <c r="CI114"/>
      <c r="CJ114"/>
      <c r="CK114"/>
      <c r="CL114"/>
      <c r="CM114"/>
      <c r="CN114"/>
      <c r="CO114"/>
      <c r="CP114"/>
      <c r="CQ114"/>
      <c r="CR114"/>
      <c r="CS114"/>
      <c r="CT114"/>
      <c r="CU114"/>
    </row>
    <row r="115" spans="1:184" x14ac:dyDescent="0.35">
      <c r="A115" s="130">
        <v>16</v>
      </c>
      <c r="B115" s="131" t="str">
        <f>IF(Exploitation!B30="","",Exploitation!B30)</f>
        <v/>
      </c>
      <c r="C115" s="142" t="str">
        <f t="shared" ref="C115:C119" si="95">IF(C90="","",CONCATENATE(C90,"_",F90))</f>
        <v/>
      </c>
      <c r="D115" s="119" t="str">
        <f t="shared" ref="D115:D119" si="96">IF(ISERROR(VLOOKUP(G90,indicateur_ventilation,2,FALSE)),"",VLOOKUP(G90,indicateur_ventilation,2,FALSE))</f>
        <v/>
      </c>
      <c r="E115" s="119" t="str">
        <f t="shared" si="72"/>
        <v/>
      </c>
      <c r="F115" s="119" t="str">
        <f>IF(ISERROR(VLOOKUP(C115,'Données d''entrée'!$D$332:$N$348,Emissions!D115,FALSE)),"",VLOOKUP(C115,'Données d''entrée'!$D$332:$N$348,Emissions!D115,FALSE))</f>
        <v/>
      </c>
      <c r="G115" s="119" t="str">
        <f t="shared" si="94"/>
        <v/>
      </c>
      <c r="H115" s="142" t="str">
        <f t="shared" si="88"/>
        <v/>
      </c>
      <c r="I115" s="125">
        <f t="shared" si="73"/>
        <v>0</v>
      </c>
      <c r="J115" s="125">
        <f t="shared" si="74"/>
        <v>0</v>
      </c>
      <c r="K115" s="125">
        <f t="shared" si="89"/>
        <v>0</v>
      </c>
      <c r="L115" s="125">
        <f t="shared" si="89"/>
        <v>0</v>
      </c>
      <c r="M115" s="125">
        <f t="shared" si="75"/>
        <v>0</v>
      </c>
      <c r="N115" s="125">
        <f t="shared" si="76"/>
        <v>0</v>
      </c>
      <c r="O115" s="125">
        <f t="shared" si="77"/>
        <v>0</v>
      </c>
      <c r="P115" s="125">
        <f t="shared" si="78"/>
        <v>0</v>
      </c>
      <c r="Q115" s="125">
        <f t="shared" si="79"/>
        <v>0</v>
      </c>
      <c r="R115" s="125">
        <f t="shared" si="80"/>
        <v>0</v>
      </c>
      <c r="S115" s="125">
        <f t="shared" si="81"/>
        <v>0</v>
      </c>
      <c r="T115" s="125">
        <f t="shared" si="82"/>
        <v>0</v>
      </c>
      <c r="U115" s="125">
        <f t="shared" si="83"/>
        <v>0</v>
      </c>
      <c r="V115" s="125">
        <f t="shared" si="84"/>
        <v>0</v>
      </c>
      <c r="W115" s="125" t="str">
        <f t="shared" si="85"/>
        <v/>
      </c>
      <c r="X115" s="125" t="str">
        <f t="shared" si="86"/>
        <v/>
      </c>
      <c r="Y115" s="125" t="str">
        <f t="shared" ref="Y115:Y118" si="97">IF(AND(W115="",X115=""),"",SUM(W115:X115))</f>
        <v/>
      </c>
      <c r="Z115" s="143" t="str">
        <f t="shared" ref="Z115:Z118" si="98">IF(ISERROR(SUM(I115:V115)-Y115),"",SUM(I115:V115)-Y115)</f>
        <v/>
      </c>
      <c r="AB115" s="125">
        <f t="shared" si="92"/>
        <v>0</v>
      </c>
      <c r="AC115" s="125">
        <f t="shared" si="93"/>
        <v>0</v>
      </c>
      <c r="CI115"/>
      <c r="CJ115"/>
      <c r="CK115"/>
      <c r="CL115"/>
      <c r="CM115"/>
      <c r="CN115"/>
      <c r="CO115"/>
      <c r="CP115"/>
      <c r="CQ115"/>
      <c r="CR115"/>
      <c r="CS115"/>
      <c r="CT115"/>
      <c r="CU115"/>
    </row>
    <row r="116" spans="1:184" x14ac:dyDescent="0.35">
      <c r="A116" s="130">
        <v>17</v>
      </c>
      <c r="B116" s="131" t="str">
        <f>IF(Exploitation!B31="","",Exploitation!B31)</f>
        <v/>
      </c>
      <c r="C116" s="142" t="str">
        <f t="shared" si="95"/>
        <v/>
      </c>
      <c r="D116" s="119" t="str">
        <f t="shared" si="96"/>
        <v/>
      </c>
      <c r="E116" s="119" t="str">
        <f t="shared" si="72"/>
        <v/>
      </c>
      <c r="F116" s="119" t="str">
        <f>IF(ISERROR(VLOOKUP(C116,'Données d''entrée'!$D$332:$N$348,Emissions!D116,FALSE)),"",VLOOKUP(C116,'Données d''entrée'!$D$332:$N$348,Emissions!D116,FALSE))</f>
        <v/>
      </c>
      <c r="G116" s="119" t="str">
        <f t="shared" si="94"/>
        <v/>
      </c>
      <c r="H116" s="142" t="str">
        <f t="shared" si="88"/>
        <v/>
      </c>
      <c r="I116" s="125">
        <f t="shared" si="73"/>
        <v>0</v>
      </c>
      <c r="J116" s="125">
        <f t="shared" si="74"/>
        <v>0</v>
      </c>
      <c r="K116" s="125">
        <f t="shared" si="89"/>
        <v>0</v>
      </c>
      <c r="L116" s="125">
        <f t="shared" si="89"/>
        <v>0</v>
      </c>
      <c r="M116" s="125">
        <f t="shared" si="75"/>
        <v>0</v>
      </c>
      <c r="N116" s="125">
        <f t="shared" si="76"/>
        <v>0</v>
      </c>
      <c r="O116" s="125">
        <f t="shared" si="77"/>
        <v>0</v>
      </c>
      <c r="P116" s="125">
        <f t="shared" si="78"/>
        <v>0</v>
      </c>
      <c r="Q116" s="125">
        <f t="shared" si="79"/>
        <v>0</v>
      </c>
      <c r="R116" s="125">
        <f t="shared" si="80"/>
        <v>0</v>
      </c>
      <c r="S116" s="125">
        <f t="shared" si="81"/>
        <v>0</v>
      </c>
      <c r="T116" s="125">
        <f t="shared" si="82"/>
        <v>0</v>
      </c>
      <c r="U116" s="125">
        <f t="shared" si="83"/>
        <v>0</v>
      </c>
      <c r="V116" s="125">
        <f t="shared" si="84"/>
        <v>0</v>
      </c>
      <c r="W116" s="125" t="str">
        <f t="shared" si="85"/>
        <v/>
      </c>
      <c r="X116" s="125" t="str">
        <f t="shared" si="86"/>
        <v/>
      </c>
      <c r="Y116" s="125" t="str">
        <f t="shared" si="97"/>
        <v/>
      </c>
      <c r="Z116" s="143" t="str">
        <f t="shared" si="98"/>
        <v/>
      </c>
      <c r="AB116" s="125">
        <f t="shared" si="92"/>
        <v>0</v>
      </c>
      <c r="AC116" s="125">
        <f t="shared" si="93"/>
        <v>0</v>
      </c>
      <c r="CI116"/>
      <c r="CJ116"/>
      <c r="CK116"/>
      <c r="CL116"/>
      <c r="CM116"/>
      <c r="CN116"/>
      <c r="CO116"/>
      <c r="CP116"/>
      <c r="CQ116"/>
      <c r="CR116"/>
      <c r="CS116"/>
      <c r="CT116"/>
      <c r="CU116"/>
    </row>
    <row r="117" spans="1:184" x14ac:dyDescent="0.35">
      <c r="A117" s="130">
        <v>18</v>
      </c>
      <c r="B117" s="131" t="str">
        <f>IF(Exploitation!B32="","",Exploitation!B32)</f>
        <v/>
      </c>
      <c r="C117" s="142" t="str">
        <f t="shared" si="95"/>
        <v/>
      </c>
      <c r="D117" s="119" t="str">
        <f t="shared" si="96"/>
        <v/>
      </c>
      <c r="E117" s="119" t="str">
        <f t="shared" si="72"/>
        <v/>
      </c>
      <c r="F117" s="119" t="str">
        <f>IF(ISERROR(VLOOKUP(C117,'Données d''entrée'!$D$332:$N$348,Emissions!D117,FALSE)),"",VLOOKUP(C117,'Données d''entrée'!$D$332:$N$348,Emissions!D117,FALSE))</f>
        <v/>
      </c>
      <c r="G117" s="119" t="str">
        <f t="shared" si="94"/>
        <v/>
      </c>
      <c r="H117" s="142" t="str">
        <f t="shared" si="88"/>
        <v/>
      </c>
      <c r="I117" s="125">
        <f t="shared" si="73"/>
        <v>0</v>
      </c>
      <c r="J117" s="125">
        <f t="shared" si="74"/>
        <v>0</v>
      </c>
      <c r="K117" s="125">
        <f t="shared" si="89"/>
        <v>0</v>
      </c>
      <c r="L117" s="125">
        <f t="shared" si="89"/>
        <v>0</v>
      </c>
      <c r="M117" s="125">
        <f t="shared" si="75"/>
        <v>0</v>
      </c>
      <c r="N117" s="125">
        <f t="shared" si="76"/>
        <v>0</v>
      </c>
      <c r="O117" s="125">
        <f t="shared" si="77"/>
        <v>0</v>
      </c>
      <c r="P117" s="125">
        <f t="shared" si="78"/>
        <v>0</v>
      </c>
      <c r="Q117" s="125">
        <f t="shared" si="79"/>
        <v>0</v>
      </c>
      <c r="R117" s="125">
        <f t="shared" si="80"/>
        <v>0</v>
      </c>
      <c r="S117" s="125">
        <f t="shared" si="81"/>
        <v>0</v>
      </c>
      <c r="T117" s="125">
        <f t="shared" si="82"/>
        <v>0</v>
      </c>
      <c r="U117" s="125">
        <f t="shared" si="83"/>
        <v>0</v>
      </c>
      <c r="V117" s="125">
        <f t="shared" si="84"/>
        <v>0</v>
      </c>
      <c r="W117" s="125" t="str">
        <f t="shared" si="85"/>
        <v/>
      </c>
      <c r="X117" s="125" t="str">
        <f t="shared" si="86"/>
        <v/>
      </c>
      <c r="Y117" s="125" t="str">
        <f t="shared" si="97"/>
        <v/>
      </c>
      <c r="Z117" s="143" t="str">
        <f t="shared" si="98"/>
        <v/>
      </c>
      <c r="AB117" s="125">
        <f t="shared" si="92"/>
        <v>0</v>
      </c>
      <c r="AC117" s="125">
        <f t="shared" si="93"/>
        <v>0</v>
      </c>
    </row>
    <row r="118" spans="1:184" x14ac:dyDescent="0.35">
      <c r="A118" s="130">
        <v>19</v>
      </c>
      <c r="B118" s="131" t="str">
        <f>IF(Exploitation!B33="","",Exploitation!B33)</f>
        <v/>
      </c>
      <c r="C118" s="142" t="str">
        <f t="shared" si="95"/>
        <v/>
      </c>
      <c r="D118" s="119" t="str">
        <f t="shared" si="96"/>
        <v/>
      </c>
      <c r="E118" s="119" t="str">
        <f t="shared" si="72"/>
        <v/>
      </c>
      <c r="F118" s="119" t="str">
        <f>IF(ISERROR(VLOOKUP(C118,'Données d''entrée'!$D$332:$N$348,Emissions!D118,FALSE)),"",VLOOKUP(C118,'Données d''entrée'!$D$332:$N$348,Emissions!D118,FALSE))</f>
        <v/>
      </c>
      <c r="G118" s="119" t="str">
        <f t="shared" si="94"/>
        <v/>
      </c>
      <c r="H118" s="142" t="str">
        <f t="shared" si="88"/>
        <v/>
      </c>
      <c r="I118" s="125">
        <f t="shared" si="73"/>
        <v>0</v>
      </c>
      <c r="J118" s="125">
        <f t="shared" si="74"/>
        <v>0</v>
      </c>
      <c r="K118" s="125">
        <f t="shared" si="89"/>
        <v>0</v>
      </c>
      <c r="L118" s="125">
        <f t="shared" si="89"/>
        <v>0</v>
      </c>
      <c r="M118" s="125">
        <f t="shared" si="75"/>
        <v>0</v>
      </c>
      <c r="N118" s="125">
        <f t="shared" si="76"/>
        <v>0</v>
      </c>
      <c r="O118" s="125">
        <f t="shared" si="77"/>
        <v>0</v>
      </c>
      <c r="P118" s="125">
        <f t="shared" si="78"/>
        <v>0</v>
      </c>
      <c r="Q118" s="125">
        <f t="shared" si="79"/>
        <v>0</v>
      </c>
      <c r="R118" s="125">
        <f t="shared" si="80"/>
        <v>0</v>
      </c>
      <c r="S118" s="125">
        <f t="shared" si="81"/>
        <v>0</v>
      </c>
      <c r="T118" s="125">
        <f t="shared" si="82"/>
        <v>0</v>
      </c>
      <c r="U118" s="125">
        <f t="shared" si="83"/>
        <v>0</v>
      </c>
      <c r="V118" s="125">
        <f t="shared" si="84"/>
        <v>0</v>
      </c>
      <c r="W118" s="125" t="str">
        <f t="shared" si="85"/>
        <v/>
      </c>
      <c r="X118" s="125" t="str">
        <f t="shared" si="86"/>
        <v/>
      </c>
      <c r="Y118" s="125" t="str">
        <f t="shared" si="97"/>
        <v/>
      </c>
      <c r="Z118" s="143" t="str">
        <f t="shared" si="98"/>
        <v/>
      </c>
      <c r="AB118" s="125">
        <f t="shared" si="92"/>
        <v>0</v>
      </c>
      <c r="AC118" s="125">
        <f t="shared" si="93"/>
        <v>0</v>
      </c>
    </row>
    <row r="119" spans="1:184" x14ac:dyDescent="0.35">
      <c r="A119" s="130">
        <v>20</v>
      </c>
      <c r="B119" s="131" t="str">
        <f>IF(Exploitation!B34="","",Exploitation!B34)</f>
        <v/>
      </c>
      <c r="C119" s="142" t="str">
        <f t="shared" si="95"/>
        <v/>
      </c>
      <c r="D119" s="119" t="str">
        <f t="shared" si="96"/>
        <v/>
      </c>
      <c r="E119" s="119" t="str">
        <f t="shared" si="72"/>
        <v/>
      </c>
      <c r="F119" s="119" t="str">
        <f>IF(ISERROR(VLOOKUP(C119,'Données d''entrée'!$D$332:$N$348,Emissions!D119,FALSE)),"",VLOOKUP(C119,'Données d''entrée'!$D$332:$N$348,Emissions!D119,FALSE))</f>
        <v/>
      </c>
      <c r="G119" s="119" t="str">
        <f t="shared" si="94"/>
        <v/>
      </c>
      <c r="H119" s="142" t="str">
        <f t="shared" si="88"/>
        <v/>
      </c>
      <c r="I119" s="125">
        <f t="shared" si="73"/>
        <v>0</v>
      </c>
      <c r="J119" s="125">
        <f t="shared" si="74"/>
        <v>0</v>
      </c>
      <c r="K119" s="125">
        <f t="shared" si="89"/>
        <v>0</v>
      </c>
      <c r="L119" s="125">
        <f t="shared" si="89"/>
        <v>0</v>
      </c>
      <c r="M119" s="125">
        <f t="shared" si="75"/>
        <v>0</v>
      </c>
      <c r="N119" s="125">
        <f t="shared" si="76"/>
        <v>0</v>
      </c>
      <c r="O119" s="125">
        <f t="shared" si="77"/>
        <v>0</v>
      </c>
      <c r="P119" s="125">
        <f t="shared" si="78"/>
        <v>0</v>
      </c>
      <c r="Q119" s="125">
        <f t="shared" si="79"/>
        <v>0</v>
      </c>
      <c r="R119" s="125">
        <f t="shared" si="80"/>
        <v>0</v>
      </c>
      <c r="S119" s="125">
        <f t="shared" si="81"/>
        <v>0</v>
      </c>
      <c r="T119" s="125">
        <f t="shared" si="82"/>
        <v>0</v>
      </c>
      <c r="U119" s="125">
        <f t="shared" si="83"/>
        <v>0</v>
      </c>
      <c r="V119" s="125">
        <f t="shared" si="84"/>
        <v>0</v>
      </c>
      <c r="W119" s="125" t="str">
        <f t="shared" si="85"/>
        <v/>
      </c>
      <c r="X119" s="125" t="str">
        <f t="shared" si="86"/>
        <v/>
      </c>
      <c r="Y119" s="125" t="str">
        <f>IF(AND(W119="",X119=""),"",SUM(W119:X119))</f>
        <v/>
      </c>
      <c r="Z119" s="143" t="str">
        <f>IF(ISERROR(SUM(I119:V119)-Y119),"",SUM(I119:V119)-Y119)</f>
        <v/>
      </c>
      <c r="AB119" s="125">
        <f t="shared" si="92"/>
        <v>0</v>
      </c>
      <c r="AC119" s="125">
        <f t="shared" si="93"/>
        <v>0</v>
      </c>
    </row>
    <row r="121" spans="1:184" x14ac:dyDescent="0.35">
      <c r="B121" s="132"/>
    </row>
    <row r="122" spans="1:184" ht="26" x14ac:dyDescent="0.6">
      <c r="B122" s="147" t="s">
        <v>187</v>
      </c>
      <c r="C122" s="148">
        <f>SUM(Y100:Y119)</f>
        <v>0</v>
      </c>
      <c r="D122" s="149" t="s">
        <v>15</v>
      </c>
      <c r="F122" s="150"/>
      <c r="M122"/>
      <c r="N122"/>
      <c r="O122"/>
      <c r="P122"/>
      <c r="Q122"/>
      <c r="R122"/>
      <c r="S122"/>
      <c r="T122"/>
      <c r="U122"/>
      <c r="V122"/>
      <c r="W122"/>
      <c r="X122"/>
      <c r="Y122"/>
      <c r="Z122"/>
      <c r="AA122"/>
      <c r="AB122"/>
      <c r="AC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row>
    <row r="123" spans="1:184" x14ac:dyDescent="0.35">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row>
    <row r="124" spans="1:184" ht="15" hidden="1" customHeight="1" x14ac:dyDescent="0.35">
      <c r="B124" s="127" t="s">
        <v>533</v>
      </c>
      <c r="M124" s="522" t="s">
        <v>588</v>
      </c>
      <c r="N124" s="523"/>
      <c r="O124" s="523"/>
      <c r="P124" s="523"/>
      <c r="Q124" s="523"/>
      <c r="R124" s="523"/>
      <c r="S124" s="523"/>
      <c r="T124" s="524"/>
      <c r="U124" s="522" t="s">
        <v>205</v>
      </c>
      <c r="V124" s="523"/>
      <c r="W124" s="523"/>
      <c r="X124" s="523"/>
      <c r="Y124" s="523"/>
      <c r="Z124" s="523"/>
      <c r="AA124" s="523"/>
      <c r="AB124" s="523"/>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row>
    <row r="125" spans="1:184" ht="28.9" hidden="1" customHeight="1" x14ac:dyDescent="0.35">
      <c r="M125" s="525" t="s">
        <v>432</v>
      </c>
      <c r="N125" s="526"/>
      <c r="O125" s="526"/>
      <c r="P125" s="527"/>
      <c r="Q125" s="525" t="s">
        <v>585</v>
      </c>
      <c r="R125" s="526"/>
      <c r="S125" s="526"/>
      <c r="T125" s="527"/>
      <c r="U125" s="525" t="s">
        <v>432</v>
      </c>
      <c r="V125" s="526"/>
      <c r="W125" s="526"/>
      <c r="X125" s="527"/>
      <c r="Y125" s="525" t="s">
        <v>585</v>
      </c>
      <c r="Z125" s="526"/>
      <c r="AA125" s="526"/>
      <c r="AB125" s="527"/>
      <c r="AC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row>
    <row r="126" spans="1:184" ht="110.5" hidden="1" customHeight="1" x14ac:dyDescent="0.35">
      <c r="C126" s="112" t="s">
        <v>435</v>
      </c>
      <c r="D126" s="112" t="s">
        <v>431</v>
      </c>
      <c r="E126" s="112" t="s">
        <v>430</v>
      </c>
      <c r="F126" s="112" t="s">
        <v>433</v>
      </c>
      <c r="G126" s="112" t="s">
        <v>434</v>
      </c>
      <c r="H126" s="135" t="s">
        <v>188</v>
      </c>
      <c r="I126" s="135" t="s">
        <v>189</v>
      </c>
      <c r="J126" s="154" t="s">
        <v>528</v>
      </c>
      <c r="K126" s="154" t="s">
        <v>202</v>
      </c>
      <c r="L126" s="154" t="s">
        <v>529</v>
      </c>
      <c r="M126" s="135" t="s">
        <v>452</v>
      </c>
      <c r="N126" s="112" t="s">
        <v>476</v>
      </c>
      <c r="O126" s="309" t="s">
        <v>453</v>
      </c>
      <c r="P126" s="309" t="s">
        <v>468</v>
      </c>
      <c r="Q126" s="135" t="s">
        <v>462</v>
      </c>
      <c r="R126" s="135" t="s">
        <v>530</v>
      </c>
      <c r="S126" s="309" t="s">
        <v>586</v>
      </c>
      <c r="T126" s="309" t="s">
        <v>587</v>
      </c>
      <c r="U126" s="294" t="s">
        <v>452</v>
      </c>
      <c r="V126" s="112" t="s">
        <v>476</v>
      </c>
      <c r="W126" s="309" t="s">
        <v>453</v>
      </c>
      <c r="X126" s="309" t="s">
        <v>468</v>
      </c>
      <c r="Y126" s="294" t="s">
        <v>462</v>
      </c>
      <c r="Z126" s="294" t="s">
        <v>530</v>
      </c>
      <c r="AA126" s="309" t="s">
        <v>586</v>
      </c>
      <c r="AB126" s="309" t="s">
        <v>587</v>
      </c>
      <c r="AC126"/>
      <c r="AD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row>
    <row r="127" spans="1:184" ht="34.9" hidden="1" customHeight="1" x14ac:dyDescent="0.35">
      <c r="A127" s="130">
        <v>1</v>
      </c>
      <c r="B127" s="131" t="str">
        <f>IF(Exploitation!B15="","",Exploitation!B15)</f>
        <v/>
      </c>
      <c r="C127" s="155" t="str">
        <f>F75</f>
        <v/>
      </c>
      <c r="D127" s="139" t="str">
        <f>IF(Exploitation!L54="","",Exploitation!L54)</f>
        <v/>
      </c>
      <c r="E127" s="139" t="str">
        <f>IF(Exploitation!K54="","",Exploitation!K54)</f>
        <v/>
      </c>
      <c r="F127" s="156" t="str">
        <f>IF(ISERROR(VLOOKUP(D127,Exploitation!$B$80:$H$84,3,FALSE)),"",VLOOKUP(D127,Exploitation!$B$80:$H$84,3,FALSE))</f>
        <v/>
      </c>
      <c r="G127" s="156" t="str">
        <f>IF(ISERROR(VLOOKUP(E127,Exploitation!$B$80:$H$84,3,FALSE)),"",VLOOKUP(E127,Exploitation!$B$80:$H$84,3,FALSE))</f>
        <v/>
      </c>
      <c r="H127" s="156">
        <f>IF(ISERROR(Exploitation!$F54*1000),"",Exploitation!$F54*1000)</f>
        <v>0</v>
      </c>
      <c r="I127" s="140">
        <f>'Données d''entrée'!$C$401</f>
        <v>0.88</v>
      </c>
      <c r="J127" s="157">
        <f>'Données d''entrée'!$C$402</f>
        <v>5.5999999999999999E-3</v>
      </c>
      <c r="K127" s="158">
        <f>IF(ISERROR($H127*$I127*'Données d''entrée'!$C$403),0,$H127*$I127*'Données d''entrée'!$C$403)</f>
        <v>0</v>
      </c>
      <c r="L127" s="158">
        <f>IF(ISERROR(H127*I127*J127),"",H127*I127*J127)</f>
        <v>0</v>
      </c>
      <c r="M127" s="159">
        <f>IF(ISERROR(IF($C127='Données d''entrée'!$B$370,(J75+K75+N75+O75+R75+S75-I100-J100-K100-L100-M100-N100)*'Données d''entrée'!$C$372,(J75+N75+R75-I100-K100-M100))),0,IF($C127='Données d''entrée'!$B$370,(J75+K75+N75+O75+R75+S75-I100-J100-K100-L100-M100-N100)*'Données d''entrée'!$C$372,(J75+N75+R75-I100-K100-M100)))</f>
        <v>0</v>
      </c>
      <c r="N127" s="159">
        <f>IF(ISERROR(IF($C127='Données d''entrée'!$B$370,(($C$37*C48+$D$37*D48+$E$37*E48)*(1-$C$38)*'Données d''entrée'!$C$374)+M127,($C$37*C48+$D$37*D48+$E$37*E48)*D75-I100-K100-M100)),0,IF($C127='Données d''entrée'!$B$370,(($C$37*C48+$D$37*D48+$E$37*E48)*(1-$C$38)*'Données d''entrée'!$C$374)+M127,($C$37*C48+$D$37*D48+$E$37*E48)*D75-I100-K100-M100))</f>
        <v>0</v>
      </c>
      <c r="O127" s="159">
        <f>IF(ISERROR(IF($C127='Données d''entrée'!$B$370,(J75+K75+N75+O75+R75+S75-I100-J100-K100-L100-M100-N100)*'Données d''entrée'!$C$371,(K75+O75+S75-J100-L100-N100))),0,IF($C127='Données d''entrée'!$B$370,(J75+K75+N75+O75+R75+S75-I100-J100-K100-L100-M100-N100)*'Données d''entrée'!$C$371,(K75+O75+S75-J100-L100-N100)))</f>
        <v>0</v>
      </c>
      <c r="P127" s="159">
        <f>IF(ISERROR(IF($C127='Données d''entrée'!$B$370,(($C$37*C48+$D$37*D48+$E$37*E48)*(1-$C$38)*'Données d''entrée'!$C$373)+O127,($C$37*C48+$D$37*D48+$E$37*E48)*E75-J100-L100-N100)),0,IF($C127='Données d''entrée'!$B$370,(($C$37*C48+$D$37*D48+$E$37*E48)*(1-$C$38)*'Données d''entrée'!$C$373)+O127,($C$37*C48+$D$37*D48+$E$37*E48)*E75-J100-L100-N100))</f>
        <v>0</v>
      </c>
      <c r="Q127" s="117">
        <f>IF(ISERROR($K127*((J48+K48+L48)/Q48)),0,$K127*((J48+K48+L48)/Q48))</f>
        <v>0</v>
      </c>
      <c r="R127" s="117">
        <f>IF(ISERROR($L127*((J48+K48+L48)/Q48)),0,$L127*((J48+K48+L48)/Q48))</f>
        <v>0</v>
      </c>
      <c r="S127" s="117">
        <f>M127-Q127</f>
        <v>0</v>
      </c>
      <c r="T127" s="117">
        <f>N127+R127</f>
        <v>0</v>
      </c>
      <c r="U127" s="159">
        <f>IF(ISERROR(IF($C127='Données d''entrée'!$B$370,(V75+W75+Z75+AA75+AD75+AE75+AH75+AI75-O100-P100-Q100-R100-S100-T100-U100-V100)*'Données d''entrée'!$C$372,(V75+Z75+AD75+AH75-O100-Q100-S100-U100))),0,IF($C127='Données d''entrée'!$B$370,(V75+W75+Z75+AA75+AD75+AE75+AH75+AI75-O100-P100-Q100-R100-S100-T100-U100-V100)*'Données d''entrée'!$C$372,(V75+Z75+AD75+AH75-O100-Q100-S100-U100)))</f>
        <v>0</v>
      </c>
      <c r="V127" s="159">
        <f>IF(ISERROR(IF($C127='Données d''entrée'!$B$370,(($F$37*F48+$G$37*G48+$H$37*H48+$I$37*I48)*(1-$C$38)*'Données d''entrée'!$C$374)+U127,($F$37*F48+$G$37*G48+$H$37*H48+$I$37*I48)*D75-O100-Q100-S100-U100)),0,IF($C127='Données d''entrée'!$B$370,(($F$37*F48+$G$37*G48+$H$37*H48+$I$37*I48)*(1-$C$38)*'Données d''entrée'!$C$374)+U127,($F$37*F48+$G$37*G48+$H$37*H48+$I$37*I48)*D75-O100-Q100-S100-U100))</f>
        <v>0</v>
      </c>
      <c r="W127" s="159">
        <f>IF(ISERROR(IF($C127='Données d''entrée'!$B$370,(V75+W75+Z75+AA75+AD75+AE75+AH75+AI75-O100-P100-Q100-R100-S100-T100-U100-V100)*'Données d''entrée'!$C$371,(W75+AA75+AE75+AI75-P100-R100-T100-V100))),0,IF($C127='Données d''entrée'!$B$370,(V75+W75+Z75+AA75+AD75+AE75+AH75+AI75-O100-P100-Q100-R100-S100-T100-U100-V100)*'Données d''entrée'!$C$371,(W75+AA75+AE75+AI75-P100-R100-T100-V100)))</f>
        <v>0</v>
      </c>
      <c r="X127" s="159">
        <f>IF(ISERROR(IF($C127='Données d''entrée'!$B$370,(($F$37*F48+$G$37*G48+$H$37*H48+$I$37*I48)*(1-$C$38)*'Données d''entrée'!$C$373)+W127,($F$37*F48+$G$37*G48+$H$37*H48+$I$37*I48)*E75-P100-R100-T100-V100)),0,IF($C127='Données d''entrée'!$B$370,(($F$37*F48+$G$37*G48+$H$37*H48+$I$37*I48)*(1-$C$38)*'Données d''entrée'!$C$373)+W127,($F$37*F48+$G$37*G48+$H$37*H48+$I$37*I48)*E75-P100-R100-T100-V100))</f>
        <v>0</v>
      </c>
      <c r="Y127" s="117">
        <f>IF(ISERROR($K127*((M48+N48+O48+P48)/Q48)),0,$K127*((M48+N48+O48+P48)/Q48))</f>
        <v>0</v>
      </c>
      <c r="Z127" s="117">
        <f>IF(ISERROR($L127*((M48+N48+O48+P48)/Q48)),0,$L127*((M48+N48+O48+P48)/Q48))</f>
        <v>0</v>
      </c>
      <c r="AA127" s="117">
        <f>U127-Y127</f>
        <v>0</v>
      </c>
      <c r="AB127" s="117">
        <f>V127+Z127</f>
        <v>0</v>
      </c>
      <c r="AC127"/>
      <c r="AD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row>
    <row r="128" spans="1:184" ht="47.5" hidden="1" customHeight="1" x14ac:dyDescent="0.35">
      <c r="A128" s="130">
        <v>2</v>
      </c>
      <c r="B128" s="131" t="str">
        <f>IF(Exploitation!B16="","",Exploitation!B16)</f>
        <v/>
      </c>
      <c r="C128" s="155" t="str">
        <f t="shared" ref="C128:C146" si="99">F76</f>
        <v/>
      </c>
      <c r="D128" s="139" t="str">
        <f>IF(Exploitation!L55="","",Exploitation!L55)</f>
        <v/>
      </c>
      <c r="E128" s="139" t="str">
        <f>IF(Exploitation!K55="","",Exploitation!K55)</f>
        <v/>
      </c>
      <c r="F128" s="156" t="str">
        <f>IF(ISERROR(VLOOKUP(D128,Exploitation!$B$80:$H$84,3,FALSE)),"",VLOOKUP(D128,Exploitation!$B$80:$H$84,3,FALSE))</f>
        <v/>
      </c>
      <c r="G128" s="156" t="str">
        <f>IF(ISERROR(VLOOKUP(E128,Exploitation!$B$80:$H$84,3,FALSE)),"",VLOOKUP(E128,Exploitation!$B$80:$H$84,3,FALSE))</f>
        <v/>
      </c>
      <c r="H128" s="156">
        <f>IF(ISERROR(Exploitation!$F55*1000),"",Exploitation!$F55*1000)</f>
        <v>0</v>
      </c>
      <c r="I128" s="140">
        <f>'Données d''entrée'!$C$401</f>
        <v>0.88</v>
      </c>
      <c r="J128" s="157">
        <f>'Données d''entrée'!$C$402</f>
        <v>5.5999999999999999E-3</v>
      </c>
      <c r="K128" s="158">
        <f>IF(ISERROR($H128*$I128*'Données d''entrée'!$C$403),0,$H128*$I128*'Données d''entrée'!$C$403)</f>
        <v>0</v>
      </c>
      <c r="L128" s="158">
        <f t="shared" ref="L128:L146" si="100">IF(ISERROR(H128*I128*J128),"",H128*I128*J128)</f>
        <v>0</v>
      </c>
      <c r="M128" s="159">
        <f>IF(ISERROR(IF($C128='Données d''entrée'!$B$370,(J76+K76+N76+O76+R76+S76-I101-J101-K101-L101-M101-N101)*'Données d''entrée'!$C$372,(J76+N76+R76-I101-K101-M101))),0,IF($C128='Données d''entrée'!$B$370,(J76+K76+N76+O76+R76+S76-I101-J101-K101-L101-M101-N101)*'Données d''entrée'!$C$372,(J76+N76+R76-I101-K101-M101)))</f>
        <v>0</v>
      </c>
      <c r="N128" s="159">
        <f>IF(ISERROR(IF($C128='Données d''entrée'!$B$370,(($C$37*C49+$D$37*D49+$E$37*E49)*(1-$C$38)*'Données d''entrée'!$C$374)+M128,($C$37*C49+$D$37*D49+$E$37*E49)*D76-I101-K101-M101)),0,IF($C128='Données d''entrée'!$B$370,(($C$37*C49+$D$37*D49+$E$37*E49)*(1-$C$38)*'Données d''entrée'!$C$374)+M128,($C$37*C49+$D$37*D49+$E$37*E49)*D76-I101-K101-M101))</f>
        <v>0</v>
      </c>
      <c r="O128" s="159">
        <f>IF(ISERROR(IF($C128='Données d''entrée'!$B$370,(J76+K76+N76+O76+R76+S76-I101-J101-K101-L101-M101-N101)*'Données d''entrée'!$C$371,(K76+O76+S76-J101-L101-N101))),0,IF($C128='Données d''entrée'!$B$370,(J76+K76+N76+O76+R76+S76-I101-J101-K101-L101-M101-N101)*'Données d''entrée'!$C$371,(K76+O76+S76-J101-L101-N101)))</f>
        <v>0</v>
      </c>
      <c r="P128" s="159">
        <f>IF(ISERROR(IF($C128='Données d''entrée'!$B$370,(($C$37*C49+$D$37*D49+$E$37*E49)*(1-$C$38)*'Données d''entrée'!$C$373)+O128,($C$37*C49+$D$37*D49+$E$37*E49)*E76-J101-L101-N101)),0,IF($C128='Données d''entrée'!$B$370,(($C$37*C49+$D$37*D49+$E$37*E49)*(1-$C$38)*'Données d''entrée'!$C$373)+O128,($C$37*C49+$D$37*D49+$E$37*E49)*E76-J101-L101-N101))</f>
        <v>0</v>
      </c>
      <c r="Q128" s="117">
        <f>IF(ISERROR($K128*((J49+K49+L49)/Q49)),0,$K128*((J49+K49+L49)/Q49))</f>
        <v>0</v>
      </c>
      <c r="R128" s="117">
        <f t="shared" ref="R128:R146" si="101">IF(ISERROR($L128*((J49+K49+L49)/Q49)),0,$L128*((J49+K49+L49)/Q49))</f>
        <v>0</v>
      </c>
      <c r="S128" s="117">
        <f>M128-Q128</f>
        <v>0</v>
      </c>
      <c r="T128" s="117">
        <f t="shared" ref="T128:T146" si="102">N128+R128</f>
        <v>0</v>
      </c>
      <c r="U128" s="159">
        <f>IF(ISERROR(IF($C128='Données d''entrée'!$B$370,(V76+W76+Z76+AA76+AD76+AE76+AH76+AI76-O101-P101-Q101-R101-S101-T101-U101-V101)*'Données d''entrée'!$C$372,(V76+Z76+AD76+AH76-O101-Q101-S101-U101))),0,IF($C128='Données d''entrée'!$B$370,(V76+W76+Z76+AA76+AD76+AE76+AH76+AI76-O101-P101-Q101-R101-S101-T101-U101-V101)*'Données d''entrée'!$C$372,(V76+Z76+AD76+AH76-O101-Q101-S101-U101)))</f>
        <v>0</v>
      </c>
      <c r="V128" s="159">
        <f>IF(ISERROR(IF($C128='Données d''entrée'!$B$370,(($F$37*F49+$G$37*G49+$H$37*H49+$I$37*I49)*(1-$C$38)*'Données d''entrée'!$C$374)+U128,($F$37*F49+$G$37*G49+$H$37*H49+$I$37*I49)*D76-O101-Q101-S101-U101)),0,IF($C128='Données d''entrée'!$B$370,(($F$37*F49+$G$37*G49+$H$37*H49+$I$37*I49)*(1-$C$38)*'Données d''entrée'!$C$374)+U128,($F$37*F49+$G$37*G49+$H$37*H49+$I$37*I49)*D76-O101-Q101-S101-U101))</f>
        <v>0</v>
      </c>
      <c r="W128" s="159">
        <f>IF(ISERROR(IF($C128='Données d''entrée'!$B$370,(V76+W76+Z76+AA76+AD76+AE76+AH76+AI76-O101-P101-Q101-R101-S101-T101-U101-V101)*'Données d''entrée'!$C$371,(W76+AA76+AE76+AI76-P101-R101-T101-V101))),0,IF($C128='Données d''entrée'!$B$370,(V76+W76+Z76+AA76+AD76+AE76+AH76+AI76-O101-P101-Q101-R101-S101-T101-U101-V101)*'Données d''entrée'!$C$371,(W76+AA76+AE76+AI76-P101-R101-T101-V101)))</f>
        <v>0</v>
      </c>
      <c r="X128" s="159">
        <f>IF(ISERROR(IF($C128='Données d''entrée'!$B$370,(($F$37*F49+$G$37*G49+$H$37*H49+$I$37*I49)*(1-$C$38)*'Données d''entrée'!$C$373)+W128,($F$37*F49+$G$37*G49+$H$37*H49+$I$37*I49)*E76-P101-R101-T101-V101)),0,IF($C128='Données d''entrée'!$B$370,(($F$37*F49+$G$37*G49+$H$37*H49+$I$37*I49)*(1-$C$38)*'Données d''entrée'!$C$373)+W128,($F$37*F49+$G$37*G49+$H$37*H49+$I$37*I49)*E76-P101-R101-T101-V101))</f>
        <v>0</v>
      </c>
      <c r="Y128" s="117">
        <f t="shared" ref="Y128:Y146" si="103">IF(ISERROR($K128*((M49+N49+O49+P49)/Q49)),0,$K128*((M49+N49+O49+P49)/Q49))</f>
        <v>0</v>
      </c>
      <c r="Z128" s="117">
        <f t="shared" ref="Z128:Z146" si="104">IF(ISERROR($L128*((M49+N49+O49+P49)/Q49)),0,$L128*((M49+N49+O49+P49)/Q49))</f>
        <v>0</v>
      </c>
      <c r="AA128" s="117">
        <f t="shared" ref="AA128:AA146" si="105">U128-Y128</f>
        <v>0</v>
      </c>
      <c r="AB128" s="117">
        <f t="shared" ref="AB128:AB146" si="106">V128+Z128</f>
        <v>0</v>
      </c>
      <c r="AC128"/>
      <c r="AD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row>
    <row r="129" spans="1:184" hidden="1" x14ac:dyDescent="0.35">
      <c r="A129" s="130">
        <v>3</v>
      </c>
      <c r="B129" s="131" t="str">
        <f>IF(Exploitation!B17="","",Exploitation!B17)</f>
        <v/>
      </c>
      <c r="C129" s="155" t="str">
        <f t="shared" si="99"/>
        <v/>
      </c>
      <c r="D129" s="139" t="str">
        <f>IF(Exploitation!L56="","",Exploitation!L56)</f>
        <v/>
      </c>
      <c r="E129" s="139" t="str">
        <f>IF(Exploitation!K56="","",Exploitation!K56)</f>
        <v/>
      </c>
      <c r="F129" s="156" t="str">
        <f>IF(ISERROR(VLOOKUP(D129,Exploitation!$B$80:$H$84,3,FALSE)),"",VLOOKUP(D129,Exploitation!$B$80:$H$84,3,FALSE))</f>
        <v/>
      </c>
      <c r="G129" s="156" t="str">
        <f>IF(ISERROR(VLOOKUP(E129,Exploitation!$B$80:$H$84,3,FALSE)),"",VLOOKUP(E129,Exploitation!$B$80:$H$84,3,FALSE))</f>
        <v/>
      </c>
      <c r="H129" s="156">
        <f>IF(ISERROR(Exploitation!$F56*1000),"",Exploitation!$F56*1000)</f>
        <v>0</v>
      </c>
      <c r="I129" s="140">
        <f>'Données d''entrée'!$C$401</f>
        <v>0.88</v>
      </c>
      <c r="J129" s="157">
        <f>'Données d''entrée'!$C$402</f>
        <v>5.5999999999999999E-3</v>
      </c>
      <c r="K129" s="158">
        <f>IF(ISERROR($H129*$I129*'Données d''entrée'!$C$403),0,$H129*$I129*'Données d''entrée'!$C$403)</f>
        <v>0</v>
      </c>
      <c r="L129" s="158">
        <f t="shared" si="100"/>
        <v>0</v>
      </c>
      <c r="M129" s="159">
        <f>IF(ISERROR(IF($C129='Données d''entrée'!$B$370,(J77+K77+N77+O77+R77+S77-I102-J102-K102-L102-M102-N102)*'Données d''entrée'!$C$372,(J77+N77+R77-I102-K102-M102))),0,IF($C129='Données d''entrée'!$B$370,(J77+K77+N77+O77+R77+S77-I102-J102-K102-L102-M102-N102)*'Données d''entrée'!$C$372,(J77+N77+R77-I102-K102-M102)))</f>
        <v>0</v>
      </c>
      <c r="N129" s="159">
        <f>IF(ISERROR(IF($C129='Données d''entrée'!$B$370,(($C$37*C50+$D$37*D50+$E$37*E50)*(1-$C$38)*'Données d''entrée'!$C$374)+M129,($C$37*C50+$D$37*D50+$E$37*E50)*D77-I102-K102-M102)),0,IF($C129='Données d''entrée'!$B$370,(($C$37*C50+$D$37*D50+$E$37*E50)*(1-$C$38)*'Données d''entrée'!$C$374)+M129,($C$37*C50+$D$37*D50+$E$37*E50)*D77-I102-K102-M102))</f>
        <v>0</v>
      </c>
      <c r="O129" s="159">
        <f>IF(ISERROR(IF($C129='Données d''entrée'!$B$370,(J77+K77+N77+O77+R77+S77-I102-J102-K102-L102-M102-N102)*'Données d''entrée'!$C$371,(K77+O77+S77-J102-L102-N102))),0,IF($C129='Données d''entrée'!$B$370,(J77+K77+N77+O77+R77+S77-I102-J102-K102-L102-M102-N102)*'Données d''entrée'!$C$371,(K77+O77+S77-J102-L102-N102)))</f>
        <v>0</v>
      </c>
      <c r="P129" s="159">
        <f>IF(ISERROR(IF($C129='Données d''entrée'!$B$370,(($C$37*C50+$D$37*D50+$E$37*E50)*(1-$C$38)*'Données d''entrée'!$C$373)+O129,($C$37*C50+$D$37*D50+$E$37*E50)*E77-J102-L102-N102)),0,IF($C129='Données d''entrée'!$B$370,(($C$37*C50+$D$37*D50+$E$37*E50)*(1-$C$38)*'Données d''entrée'!$C$373)+O129,($C$37*C50+$D$37*D50+$E$37*E50)*E77-J102-L102-N102))</f>
        <v>0</v>
      </c>
      <c r="Q129" s="117">
        <f t="shared" ref="Q129:Q146" si="107">IF(ISERROR($K129*((J50+K50+L50)/Q50)),0,$K129*((J50+K50+L50)/Q50))</f>
        <v>0</v>
      </c>
      <c r="R129" s="117">
        <f t="shared" si="101"/>
        <v>0</v>
      </c>
      <c r="S129" s="117">
        <f t="shared" ref="S129:S146" si="108">M129-Q129</f>
        <v>0</v>
      </c>
      <c r="T129" s="117">
        <f t="shared" si="102"/>
        <v>0</v>
      </c>
      <c r="U129" s="159">
        <f>IF(ISERROR(IF($C129='Données d''entrée'!$B$370,(V77+W77+Z77+AA77+AD77+AE77+AH77+AI77-O102-P102-Q102-R102-S102-T102-U102-V102)*'Données d''entrée'!$C$372,(V77+Z77+AD77+AH77-O102-Q102-S102-U102))),0,IF($C129='Données d''entrée'!$B$370,(V77+W77+Z77+AA77+AD77+AE77+AH77+AI77-O102-P102-Q102-R102-S102-T102-U102-V102)*'Données d''entrée'!$C$372,(V77+Z77+AD77+AH77-O102-Q102-S102-U102)))</f>
        <v>0</v>
      </c>
      <c r="V129" s="159">
        <f>IF(ISERROR(IF($C129='Données d''entrée'!$B$370,(($F$37*F50+$G$37*G50+$H$37*H50+$I$37*I50)*(1-$C$38)*'Données d''entrée'!$C$374)+U129,($F$37*F50+$G$37*G50+$H$37*H50+$I$37*I50)*D77-O102-Q102-S102-U102)),0,IF($C129='Données d''entrée'!$B$370,(($F$37*F50+$G$37*G50+$H$37*H50+$I$37*I50)*(1-$C$38)*'Données d''entrée'!$C$374)+U129,($F$37*F50+$G$37*G50+$H$37*H50+$I$37*I50)*D77-O102-Q102-S102-U102))</f>
        <v>0</v>
      </c>
      <c r="W129" s="159">
        <f>IF(ISERROR(IF($C129='Données d''entrée'!$B$370,(V77+W77+Z77+AA77+AD77+AE77+AH77+AI77-O102-P102-Q102-R102-S102-T102-U102-V102)*'Données d''entrée'!$C$371,(W77+AA77+AE77+AI77-P102-R102-T102-V102))),0,IF($C129='Données d''entrée'!$B$370,(V77+W77+Z77+AA77+AD77+AE77+AH77+AI77-O102-P102-Q102-R102-S102-T102-U102-V102)*'Données d''entrée'!$C$371,(W77+AA77+AE77+AI77-P102-R102-T102-V102)))</f>
        <v>0</v>
      </c>
      <c r="X129" s="159">
        <f>IF(ISERROR(IF($C129='Données d''entrée'!$B$370,(($F$37*F50+$G$37*G50+$H$37*H50+$I$37*I50)*(1-$C$38)*'Données d''entrée'!$C$373)+W129,($F$37*F50+$G$37*G50+$H$37*H50+$I$37*I50)*E77-P102-R102-T102-V102)),0,IF($C129='Données d''entrée'!$B$370,(($F$37*F50+$G$37*G50+$H$37*H50+$I$37*I50)*(1-$C$38)*'Données d''entrée'!$C$373)+W129,($F$37*F50+$G$37*G50+$H$37*H50+$I$37*I50)*E77-P102-R102-T102-V102))</f>
        <v>0</v>
      </c>
      <c r="Y129" s="117">
        <f t="shared" si="103"/>
        <v>0</v>
      </c>
      <c r="Z129" s="117">
        <f t="shared" si="104"/>
        <v>0</v>
      </c>
      <c r="AA129" s="117">
        <f t="shared" si="105"/>
        <v>0</v>
      </c>
      <c r="AB129" s="117">
        <f t="shared" si="106"/>
        <v>0</v>
      </c>
      <c r="AC129"/>
      <c r="AD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row>
    <row r="130" spans="1:184" hidden="1" x14ac:dyDescent="0.35">
      <c r="A130" s="130">
        <v>4</v>
      </c>
      <c r="B130" s="131" t="str">
        <f>IF(Exploitation!B18="","",Exploitation!B18)</f>
        <v/>
      </c>
      <c r="C130" s="155" t="str">
        <f t="shared" si="99"/>
        <v/>
      </c>
      <c r="D130" s="139" t="str">
        <f>IF(Exploitation!L57="","",Exploitation!L57)</f>
        <v/>
      </c>
      <c r="E130" s="139" t="str">
        <f>IF(Exploitation!K57="","",Exploitation!K57)</f>
        <v/>
      </c>
      <c r="F130" s="156" t="str">
        <f>IF(ISERROR(VLOOKUP(D130,Exploitation!$B$80:$H$84,3,FALSE)),"",VLOOKUP(D130,Exploitation!$B$80:$H$84,3,FALSE))</f>
        <v/>
      </c>
      <c r="G130" s="156" t="str">
        <f>IF(ISERROR(VLOOKUP(E130,Exploitation!$B$80:$H$84,3,FALSE)),"",VLOOKUP(E130,Exploitation!$B$80:$H$84,3,FALSE))</f>
        <v/>
      </c>
      <c r="H130" s="156">
        <f>IF(ISERROR(Exploitation!$F57*1000),"",Exploitation!$F57*1000)</f>
        <v>0</v>
      </c>
      <c r="I130" s="140">
        <f>'Données d''entrée'!$C$401</f>
        <v>0.88</v>
      </c>
      <c r="J130" s="157">
        <f>'Données d''entrée'!$C$402</f>
        <v>5.5999999999999999E-3</v>
      </c>
      <c r="K130" s="158">
        <f>IF(ISERROR($H130*$I130*'Données d''entrée'!$C$403),0,$H130*$I130*'Données d''entrée'!$C$403)</f>
        <v>0</v>
      </c>
      <c r="L130" s="158">
        <f t="shared" si="100"/>
        <v>0</v>
      </c>
      <c r="M130" s="159">
        <f>IF(ISERROR(IF($C130='Données d''entrée'!$B$370,(J78+K78+N78+O78+R78+S78-I103-J103-K103-L103-M103-N103)*'Données d''entrée'!$C$372,(J78+N78+R78-I103-K103-M103))),0,IF($C130='Données d''entrée'!$B$370,(J78+K78+N78+O78+R78+S78-I103-J103-K103-L103-M103-N103)*'Données d''entrée'!$C$372,(J78+N78+R78-I103-K103-M103)))</f>
        <v>0</v>
      </c>
      <c r="N130" s="159">
        <f>IF(ISERROR(IF($C130='Données d''entrée'!$B$370,(($C$37*C51+$D$37*D51+$E$37*E51)*(1-$C$38)*'Données d''entrée'!$C$374)+M130,($C$37*C51+$D$37*D51+$E$37*E51)*D78-I103-K103-M103)),0,IF($C130='Données d''entrée'!$B$370,(($C$37*C51+$D$37*D51+$E$37*E51)*(1-$C$38)*'Données d''entrée'!$C$374)+M130,($C$37*C51+$D$37*D51+$E$37*E51)*D78-I103-K103-M103))</f>
        <v>0</v>
      </c>
      <c r="O130" s="159">
        <f>IF(ISERROR(IF($C130='Données d''entrée'!$B$370,(J78+K78+N78+O78+R78+S78-I103-J103-K103-L103-M103-N103)*'Données d''entrée'!$C$371,(K78+O78+S78-J103-L103-N103))),0,IF($C130='Données d''entrée'!$B$370,(J78+K78+N78+O78+R78+S78-I103-J103-K103-L103-M103-N103)*'Données d''entrée'!$C$371,(K78+O78+S78-J103-L103-N103)))</f>
        <v>0</v>
      </c>
      <c r="P130" s="159">
        <f>IF(ISERROR(IF($C130='Données d''entrée'!$B$370,(($C$37*C51+$D$37*D51+$E$37*E51)*(1-$C$38)*'Données d''entrée'!$C$373)+O130,($C$37*C51+$D$37*D51+$E$37*E51)*E78-J103-L103-N103)),0,IF($C130='Données d''entrée'!$B$370,(($C$37*C51+$D$37*D51+$E$37*E51)*(1-$C$38)*'Données d''entrée'!$C$373)+O130,($C$37*C51+$D$37*D51+$E$37*E51)*E78-J103-L103-N103))</f>
        <v>0</v>
      </c>
      <c r="Q130" s="117">
        <f t="shared" si="107"/>
        <v>0</v>
      </c>
      <c r="R130" s="117">
        <f t="shared" si="101"/>
        <v>0</v>
      </c>
      <c r="S130" s="117">
        <f t="shared" si="108"/>
        <v>0</v>
      </c>
      <c r="T130" s="117">
        <f t="shared" si="102"/>
        <v>0</v>
      </c>
      <c r="U130" s="159">
        <f>IF(ISERROR(IF($C130='Données d''entrée'!$B$370,(V78+W78+Z78+AA78+AD78+AE78+AH78+AI78-O103-P103-Q103-R103-S103-T103-U103-V103)*'Données d''entrée'!$C$372,(V78+Z78+AD78+AH78-O103-Q103-S103-U103))),0,IF($C130='Données d''entrée'!$B$370,(V78+W78+Z78+AA78+AD78+AE78+AH78+AI78-O103-P103-Q103-R103-S103-T103-U103-V103)*'Données d''entrée'!$C$372,(V78+Z78+AD78+AH78-O103-Q103-S103-U103)))</f>
        <v>0</v>
      </c>
      <c r="V130" s="159">
        <f>IF(ISERROR(IF($C130='Données d''entrée'!$B$370,(($F$37*F51+$G$37*G51+$H$37*H51+$I$37*I51)*(1-$C$38)*'Données d''entrée'!$C$374)+U130,($F$37*F51+$G$37*G51+$H$37*H51+$I$37*I51)*D78-O103-Q103-S103-U103)),0,IF($C130='Données d''entrée'!$B$370,(($F$37*F51+$G$37*G51+$H$37*H51+$I$37*I51)*(1-$C$38)*'Données d''entrée'!$C$374)+U130,($F$37*F51+$G$37*G51+$H$37*H51+$I$37*I51)*D78-O103-Q103-S103-U103))</f>
        <v>0</v>
      </c>
      <c r="W130" s="159">
        <f>IF(ISERROR(IF($C130='Données d''entrée'!$B$370,(V78+W78+Z78+AA78+AD78+AE78+AH78+AI78-O103-P103-Q103-R103-S103-T103-U103-V103)*'Données d''entrée'!$C$371,(W78+AA78+AE78+AI78-P103-R103-T103-V103))),0,IF($C130='Données d''entrée'!$B$370,(V78+W78+Z78+AA78+AD78+AE78+AH78+AI78-O103-P103-Q103-R103-S103-T103-U103-V103)*'Données d''entrée'!$C$371,(W78+AA78+AE78+AI78-P103-R103-T103-V103)))</f>
        <v>0</v>
      </c>
      <c r="X130" s="159">
        <f>IF(ISERROR(IF($C130='Données d''entrée'!$B$370,(($F$37*F51+$G$37*G51+$H$37*H51+$I$37*I51)*(1-$C$38)*'Données d''entrée'!$C$373)+W130,($F$37*F51+$G$37*G51+$H$37*H51+$I$37*I51)*E78-P103-R103-T103-V103)),0,IF($C130='Données d''entrée'!$B$370,(($F$37*F51+$G$37*G51+$H$37*H51+$I$37*I51)*(1-$C$38)*'Données d''entrée'!$C$373)+W130,($F$37*F51+$G$37*G51+$H$37*H51+$I$37*I51)*E78-P103-R103-T103-V103))</f>
        <v>0</v>
      </c>
      <c r="Y130" s="117">
        <f t="shared" si="103"/>
        <v>0</v>
      </c>
      <c r="Z130" s="117">
        <f t="shared" si="104"/>
        <v>0</v>
      </c>
      <c r="AA130" s="117">
        <f t="shared" si="105"/>
        <v>0</v>
      </c>
      <c r="AB130" s="117">
        <f t="shared" si="106"/>
        <v>0</v>
      </c>
      <c r="AC130"/>
      <c r="AD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row>
    <row r="131" spans="1:184" hidden="1" x14ac:dyDescent="0.35">
      <c r="A131" s="130">
        <v>5</v>
      </c>
      <c r="B131" s="131" t="str">
        <f>IF(Exploitation!B19="","",Exploitation!B19)</f>
        <v/>
      </c>
      <c r="C131" s="155" t="str">
        <f t="shared" si="99"/>
        <v/>
      </c>
      <c r="D131" s="139" t="str">
        <f>IF(Exploitation!L58="","",Exploitation!L58)</f>
        <v/>
      </c>
      <c r="E131" s="139" t="str">
        <f>IF(Exploitation!K58="","",Exploitation!K58)</f>
        <v/>
      </c>
      <c r="F131" s="156" t="str">
        <f>IF(ISERROR(VLOOKUP(D131,Exploitation!$B$80:$H$84,3,FALSE)),"",VLOOKUP(D131,Exploitation!$B$80:$H$84,3,FALSE))</f>
        <v/>
      </c>
      <c r="G131" s="156" t="str">
        <f>IF(ISERROR(VLOOKUP(E131,Exploitation!$B$80:$H$84,3,FALSE)),"",VLOOKUP(E131,Exploitation!$B$80:$H$84,3,FALSE))</f>
        <v/>
      </c>
      <c r="H131" s="156">
        <f>IF(ISERROR(Exploitation!$F58*1000),"",Exploitation!$F58*1000)</f>
        <v>0</v>
      </c>
      <c r="I131" s="140">
        <f>'Données d''entrée'!$C$401</f>
        <v>0.88</v>
      </c>
      <c r="J131" s="157">
        <f>'Données d''entrée'!$C$402</f>
        <v>5.5999999999999999E-3</v>
      </c>
      <c r="K131" s="158">
        <f>IF(ISERROR($H131*$I131*'Données d''entrée'!$C$403),0,$H131*$I131*'Données d''entrée'!$C$403)</f>
        <v>0</v>
      </c>
      <c r="L131" s="158">
        <f t="shared" si="100"/>
        <v>0</v>
      </c>
      <c r="M131" s="159">
        <f>IF(ISERROR(IF($C131='Données d''entrée'!$B$370,(J79+K79+N79+O79+R79+S79-I104-J104-K104-L104-M104-N104)*'Données d''entrée'!$C$372,(J79+N79+R79-I104-K104-M104))),0,IF($C131='Données d''entrée'!$B$370,(J79+K79+N79+O79+R79+S79-I104-J104-K104-L104-M104-N104)*'Données d''entrée'!$C$372,(J79+N79+R79-I104-K104-M104)))</f>
        <v>0</v>
      </c>
      <c r="N131" s="159">
        <f>IF(ISERROR(IF($C131='Données d''entrée'!$B$370,(($C$37*C52+$D$37*D52+$E$37*E52)*(1-$C$38)*'Données d''entrée'!$C$374)+M131,($C$37*C52+$D$37*D52+$E$37*E52)*D79-I104-K104-M104)),0,IF($C131='Données d''entrée'!$B$370,(($C$37*C52+$D$37*D52+$E$37*E52)*(1-$C$38)*'Données d''entrée'!$C$374)+M131,($C$37*C52+$D$37*D52+$E$37*E52)*D79-I104-K104-M104))</f>
        <v>0</v>
      </c>
      <c r="O131" s="159">
        <f>IF(ISERROR(IF($C131='Données d''entrée'!$B$370,(J79+K79+N79+O79+R79+S79-I104-J104-K104-L104-M104-N104)*'Données d''entrée'!$C$371,(K79+O79+S79-J104-L104-N104))),0,IF($C131='Données d''entrée'!$B$370,(J79+K79+N79+O79+R79+S79-I104-J104-K104-L104-M104-N104)*'Données d''entrée'!$C$371,(K79+O79+S79-J104-L104-N104)))</f>
        <v>0</v>
      </c>
      <c r="P131" s="159">
        <f>IF(ISERROR(IF($C131='Données d''entrée'!$B$370,(($C$37*C52+$D$37*D52+$E$37*E52)*(1-$C$38)*'Données d''entrée'!$C$373)+O131,($C$37*C52+$D$37*D52+$E$37*E52)*E79-J104-L104-N104)),0,IF($C131='Données d''entrée'!$B$370,(($C$37*C52+$D$37*D52+$E$37*E52)*(1-$C$38)*'Données d''entrée'!$C$373)+O131,($C$37*C52+$D$37*D52+$E$37*E52)*E79-J104-L104-N104))</f>
        <v>0</v>
      </c>
      <c r="Q131" s="117">
        <f t="shared" si="107"/>
        <v>0</v>
      </c>
      <c r="R131" s="117">
        <f t="shared" si="101"/>
        <v>0</v>
      </c>
      <c r="S131" s="117">
        <f t="shared" si="108"/>
        <v>0</v>
      </c>
      <c r="T131" s="117">
        <f t="shared" si="102"/>
        <v>0</v>
      </c>
      <c r="U131" s="159">
        <f>IF(ISERROR(IF($C131='Données d''entrée'!$B$370,(V79+W79+Z79+AA79+AD79+AE79+AH79+AI79-O104-P104-Q104-R104-S104-T104-U104-V104)*'Données d''entrée'!$C$372,(V79+Z79+AD79+AH79-O104-Q104-S104-U104))),0,IF($C131='Données d''entrée'!$B$370,(V79+W79+Z79+AA79+AD79+AE79+AH79+AI79-O104-P104-Q104-R104-S104-T104-U104-V104)*'Données d''entrée'!$C$372,(V79+Z79+AD79+AH79-O104-Q104-S104-U104)))</f>
        <v>0</v>
      </c>
      <c r="V131" s="159">
        <f>IF(ISERROR(IF($C131='Données d''entrée'!$B$370,(($F$37*F52+$G$37*G52+$H$37*H52+$I$37*I52)*(1-$C$38)*'Données d''entrée'!$C$374)+U131,($F$37*F52+$G$37*G52+$H$37*H52+$I$37*I52)*D79-O104-Q104-S104-U104)),0,IF($C131='Données d''entrée'!$B$370,(($F$37*F52+$G$37*G52+$H$37*H52+$I$37*I52)*(1-$C$38)*'Données d''entrée'!$C$374)+U131,($F$37*F52+$G$37*G52+$H$37*H52+$I$37*I52)*D79-O104-Q104-S104-U104))</f>
        <v>0</v>
      </c>
      <c r="W131" s="159">
        <f>IF(ISERROR(IF($C131='Données d''entrée'!$B$370,(V79+W79+Z79+AA79+AD79+AE79+AH79+AI79-O104-P104-Q104-R104-S104-T104-U104-V104)*'Données d''entrée'!$C$371,(W79+AA79+AE79+AI79-P104-R104-T104-V104))),0,IF($C131='Données d''entrée'!$B$370,(V79+W79+Z79+AA79+AD79+AE79+AH79+AI79-O104-P104-Q104-R104-S104-T104-U104-V104)*'Données d''entrée'!$C$371,(W79+AA79+AE79+AI79-P104-R104-T104-V104)))</f>
        <v>0</v>
      </c>
      <c r="X131" s="159">
        <f>IF(ISERROR(IF($C131='Données d''entrée'!$B$370,(($F$37*F52+$G$37*G52+$H$37*H52+$I$37*I52)*(1-$C$38)*'Données d''entrée'!$C$373)+W131,($F$37*F52+$G$37*G52+$H$37*H52+$I$37*I52)*E79-P104-R104-T104-V104)),0,IF($C131='Données d''entrée'!$B$370,(($F$37*F52+$G$37*G52+$H$37*H52+$I$37*I52)*(1-$C$38)*'Données d''entrée'!$C$373)+W131,($F$37*F52+$G$37*G52+$H$37*H52+$I$37*I52)*E79-P104-R104-T104-V104))</f>
        <v>0</v>
      </c>
      <c r="Y131" s="117">
        <f t="shared" si="103"/>
        <v>0</v>
      </c>
      <c r="Z131" s="117">
        <f t="shared" si="104"/>
        <v>0</v>
      </c>
      <c r="AA131" s="117">
        <f t="shared" si="105"/>
        <v>0</v>
      </c>
      <c r="AB131" s="117">
        <f t="shared" si="106"/>
        <v>0</v>
      </c>
      <c r="AC131"/>
      <c r="AD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row>
    <row r="132" spans="1:184" hidden="1" x14ac:dyDescent="0.35">
      <c r="A132" s="130">
        <v>6</v>
      </c>
      <c r="B132" s="131" t="str">
        <f>IF(Exploitation!B20="","",Exploitation!B20)</f>
        <v/>
      </c>
      <c r="C132" s="155" t="str">
        <f t="shared" si="99"/>
        <v/>
      </c>
      <c r="D132" s="139" t="str">
        <f>IF(Exploitation!L59="","",Exploitation!L59)</f>
        <v/>
      </c>
      <c r="E132" s="139" t="str">
        <f>IF(Exploitation!K59="","",Exploitation!K59)</f>
        <v/>
      </c>
      <c r="F132" s="156" t="str">
        <f>IF(ISERROR(VLOOKUP(D132,Exploitation!$B$80:$H$84,3,FALSE)),"",VLOOKUP(D132,Exploitation!$B$80:$H$84,3,FALSE))</f>
        <v/>
      </c>
      <c r="G132" s="156" t="str">
        <f>IF(ISERROR(VLOOKUP(E132,Exploitation!$B$80:$H$84,3,FALSE)),"",VLOOKUP(E132,Exploitation!$B$80:$H$84,3,FALSE))</f>
        <v/>
      </c>
      <c r="H132" s="156">
        <f>IF(ISERROR(Exploitation!$F59*1000),"",Exploitation!$F59*1000)</f>
        <v>0</v>
      </c>
      <c r="I132" s="140">
        <f>'Données d''entrée'!$C$401</f>
        <v>0.88</v>
      </c>
      <c r="J132" s="157">
        <f>'Données d''entrée'!$C$402</f>
        <v>5.5999999999999999E-3</v>
      </c>
      <c r="K132" s="158">
        <f>IF(ISERROR($H132*$I132*'Données d''entrée'!$C$403),0,$H132*$I132*'Données d''entrée'!$C$403)</f>
        <v>0</v>
      </c>
      <c r="L132" s="158">
        <f t="shared" si="100"/>
        <v>0</v>
      </c>
      <c r="M132" s="159">
        <f>IF(ISERROR(IF($C132='Données d''entrée'!$B$370,(J80+K80+N80+O80+R80+S80-I105-J105-K105-L105-M105-N105)*'Données d''entrée'!$C$372,(J80+N80+R80-I105-K105-M105))),0,IF($C132='Données d''entrée'!$B$370,(J80+K80+N80+O80+R80+S80-I105-J105-K105-L105-M105-N105)*'Données d''entrée'!$C$372,(J80+N80+R80-I105-K105-M105)))</f>
        <v>0</v>
      </c>
      <c r="N132" s="159">
        <f>IF(ISERROR(IF($C132='Données d''entrée'!$B$370,(($C$37*C53+$D$37*D53+$E$37*E53)*(1-$C$38)*'Données d''entrée'!$C$374)+M132,($C$37*C53+$D$37*D53+$E$37*E53)*D80-I105-K105-M105)),0,IF($C132='Données d''entrée'!$B$370,(($C$37*C53+$D$37*D53+$E$37*E53)*(1-$C$38)*'Données d''entrée'!$C$374)+M132,($C$37*C53+$D$37*D53+$E$37*E53)*D80-I105-K105-M105))</f>
        <v>0</v>
      </c>
      <c r="O132" s="159">
        <f>IF(ISERROR(IF($C132='Données d''entrée'!$B$370,(J80+K80+N80+O80+R80+S80-I105-J105-K105-L105-M105-N105)*'Données d''entrée'!$C$371,(K80+O80+S80-J105-L105-N105))),0,IF($C132='Données d''entrée'!$B$370,(J80+K80+N80+O80+R80+S80-I105-J105-K105-L105-M105-N105)*'Données d''entrée'!$C$371,(K80+O80+S80-J105-L105-N105)))</f>
        <v>0</v>
      </c>
      <c r="P132" s="159">
        <f>IF(ISERROR(IF($C132='Données d''entrée'!$B$370,(($C$37*C53+$D$37*D53+$E$37*E53)*(1-$C$38)*'Données d''entrée'!$C$373)+O132,($C$37*C53+$D$37*D53+$E$37*E53)*E80-J105-L105-N105)),0,IF($C132='Données d''entrée'!$B$370,(($C$37*C53+$D$37*D53+$E$37*E53)*(1-$C$38)*'Données d''entrée'!$C$373)+O132,($C$37*C53+$D$37*D53+$E$37*E53)*E80-J105-L105-N105))</f>
        <v>0</v>
      </c>
      <c r="Q132" s="117">
        <f t="shared" si="107"/>
        <v>0</v>
      </c>
      <c r="R132" s="117">
        <f t="shared" si="101"/>
        <v>0</v>
      </c>
      <c r="S132" s="117">
        <f t="shared" si="108"/>
        <v>0</v>
      </c>
      <c r="T132" s="117">
        <f t="shared" si="102"/>
        <v>0</v>
      </c>
      <c r="U132" s="159">
        <f>IF(ISERROR(IF($C132='Données d''entrée'!$B$370,(V80+W80+Z80+AA80+AD80+AE80+AH80+AI80-O105-P105-Q105-R105-S105-T105-U105-V105)*'Données d''entrée'!$C$372,(V80+Z80+AD80+AH80-O105-Q105-S105-U105))),0,IF($C132='Données d''entrée'!$B$370,(V80+W80+Z80+AA80+AD80+AE80+AH80+AI80-O105-P105-Q105-R105-S105-T105-U105-V105)*'Données d''entrée'!$C$372,(V80+Z80+AD80+AH80-O105-Q105-S105-U105)))</f>
        <v>0</v>
      </c>
      <c r="V132" s="159">
        <f>IF(ISERROR(IF($C132='Données d''entrée'!$B$370,(($F$37*F53+$G$37*G53+$H$37*H53+$I$37*I53)*(1-$C$38)*'Données d''entrée'!$C$374)+U132,($F$37*F53+$G$37*G53+$H$37*H53+$I$37*I53)*D80-O105-Q105-S105-U105)),0,IF($C132='Données d''entrée'!$B$370,(($F$37*F53+$G$37*G53+$H$37*H53+$I$37*I53)*(1-$C$38)*'Données d''entrée'!$C$374)+U132,($F$37*F53+$G$37*G53+$H$37*H53+$I$37*I53)*D80-O105-Q105-S105-U105))</f>
        <v>0</v>
      </c>
      <c r="W132" s="159">
        <f>IF(ISERROR(IF($C132='Données d''entrée'!$B$370,(V80+W80+Z80+AA80+AD80+AE80+AH80+AI80-O105-P105-Q105-R105-S105-T105-U105-V105)*'Données d''entrée'!$C$371,(W80+AA80+AE80+AI80-P105-R105-T105-V105))),0,IF($C132='Données d''entrée'!$B$370,(V80+W80+Z80+AA80+AD80+AE80+AH80+AI80-O105-P105-Q105-R105-S105-T105-U105-V105)*'Données d''entrée'!$C$371,(W80+AA80+AE80+AI80-P105-R105-T105-V105)))</f>
        <v>0</v>
      </c>
      <c r="X132" s="159">
        <f>IF(ISERROR(IF($C132='Données d''entrée'!$B$370,(($F$37*F53+$G$37*G53+$H$37*H53+$I$37*I53)*(1-$C$38)*'Données d''entrée'!$C$373)+W132,($F$37*F53+$G$37*G53+$H$37*H53+$I$37*I53)*E80-P105-R105-T105-V105)),0,IF($C132='Données d''entrée'!$B$370,(($F$37*F53+$G$37*G53+$H$37*H53+$I$37*I53)*(1-$C$38)*'Données d''entrée'!$C$373)+W132,($F$37*F53+$G$37*G53+$H$37*H53+$I$37*I53)*E80-P105-R105-T105-V105))</f>
        <v>0</v>
      </c>
      <c r="Y132" s="117">
        <f t="shared" si="103"/>
        <v>0</v>
      </c>
      <c r="Z132" s="117">
        <f t="shared" si="104"/>
        <v>0</v>
      </c>
      <c r="AA132" s="117">
        <f t="shared" si="105"/>
        <v>0</v>
      </c>
      <c r="AB132" s="117">
        <f t="shared" si="106"/>
        <v>0</v>
      </c>
      <c r="AC132"/>
      <c r="AD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row>
    <row r="133" spans="1:184" hidden="1" x14ac:dyDescent="0.35">
      <c r="A133" s="130">
        <v>7</v>
      </c>
      <c r="B133" s="131" t="str">
        <f>IF(Exploitation!B21="","",Exploitation!B21)</f>
        <v/>
      </c>
      <c r="C133" s="155" t="str">
        <f t="shared" si="99"/>
        <v/>
      </c>
      <c r="D133" s="139" t="str">
        <f>IF(Exploitation!L60="","",Exploitation!L60)</f>
        <v/>
      </c>
      <c r="E133" s="139" t="str">
        <f>IF(Exploitation!K60="","",Exploitation!K60)</f>
        <v/>
      </c>
      <c r="F133" s="156" t="str">
        <f>IF(ISERROR(VLOOKUP(D133,Exploitation!$B$80:$H$84,3,FALSE)),"",VLOOKUP(D133,Exploitation!$B$80:$H$84,3,FALSE))</f>
        <v/>
      </c>
      <c r="G133" s="156" t="str">
        <f>IF(ISERROR(VLOOKUP(E133,Exploitation!$B$80:$H$84,3,FALSE)),"",VLOOKUP(E133,Exploitation!$B$80:$H$84,3,FALSE))</f>
        <v/>
      </c>
      <c r="H133" s="156">
        <f>IF(ISERROR(Exploitation!$F60*1000),"",Exploitation!$F60*1000)</f>
        <v>0</v>
      </c>
      <c r="I133" s="140">
        <f>'Données d''entrée'!$C$401</f>
        <v>0.88</v>
      </c>
      <c r="J133" s="157">
        <f>'Données d''entrée'!$C$402</f>
        <v>5.5999999999999999E-3</v>
      </c>
      <c r="K133" s="158">
        <f>IF(ISERROR($H133*$I133*'Données d''entrée'!$C$403),0,$H133*$I133*'Données d''entrée'!$C$403)</f>
        <v>0</v>
      </c>
      <c r="L133" s="158">
        <f t="shared" si="100"/>
        <v>0</v>
      </c>
      <c r="M133" s="159">
        <f>IF(ISERROR(IF($C133='Données d''entrée'!$B$370,(J81+K81+N81+O81+R81+S81-I106-J106-K106-L106-M106-N106)*'Données d''entrée'!$C$372,(J81+N81+R81-I106-K106-M106))),0,IF($C133='Données d''entrée'!$B$370,(J81+K81+N81+O81+R81+S81-I106-J106-K106-L106-M106-N106)*'Données d''entrée'!$C$372,(J81+N81+R81-I106-K106-M106)))</f>
        <v>0</v>
      </c>
      <c r="N133" s="159">
        <f>IF(ISERROR(IF($C133='Données d''entrée'!$B$370,(($C$37*C54+$D$37*D54+$E$37*E54)*(1-$C$38)*'Données d''entrée'!$C$374)+M133,($C$37*C54+$D$37*D54+$E$37*E54)*D81-I106-K106-M106)),0,IF($C133='Données d''entrée'!$B$370,(($C$37*C54+$D$37*D54+$E$37*E54)*(1-$C$38)*'Données d''entrée'!$C$374)+M133,($C$37*C54+$D$37*D54+$E$37*E54)*D81-I106-K106-M106))</f>
        <v>0</v>
      </c>
      <c r="O133" s="159">
        <f>IF(ISERROR(IF($C133='Données d''entrée'!$B$370,(J81+K81+N81+O81+R81+S81-I106-J106-K106-L106-M106-N106)*'Données d''entrée'!$C$371,(K81+O81+S81-J106-L106-N106))),0,IF($C133='Données d''entrée'!$B$370,(J81+K81+N81+O81+R81+S81-I106-J106-K106-L106-M106-N106)*'Données d''entrée'!$C$371,(K81+O81+S81-J106-L106-N106)))</f>
        <v>0</v>
      </c>
      <c r="P133" s="159">
        <f>IF(ISERROR(IF($C133='Données d''entrée'!$B$370,(($C$37*C54+$D$37*D54+$E$37*E54)*(1-$C$38)*'Données d''entrée'!$C$373)+O133,($C$37*C54+$D$37*D54+$E$37*E54)*E81-J106-L106-N106)),0,IF($C133='Données d''entrée'!$B$370,(($C$37*C54+$D$37*D54+$E$37*E54)*(1-$C$38)*'Données d''entrée'!$C$373)+O133,($C$37*C54+$D$37*D54+$E$37*E54)*E81-J106-L106-N106))</f>
        <v>0</v>
      </c>
      <c r="Q133" s="117">
        <f t="shared" si="107"/>
        <v>0</v>
      </c>
      <c r="R133" s="117">
        <f t="shared" si="101"/>
        <v>0</v>
      </c>
      <c r="S133" s="117">
        <f t="shared" si="108"/>
        <v>0</v>
      </c>
      <c r="T133" s="117">
        <f t="shared" si="102"/>
        <v>0</v>
      </c>
      <c r="U133" s="159">
        <f>IF(ISERROR(IF($C133='Données d''entrée'!$B$370,(V81+W81+Z81+AA81+AD81+AE81+AH81+AI81-O106-P106-Q106-R106-S106-T106-U106-V106)*'Données d''entrée'!$C$372,(V81+Z81+AD81+AH81-O106-Q106-S106-U106))),0,IF($C133='Données d''entrée'!$B$370,(V81+W81+Z81+AA81+AD81+AE81+AH81+AI81-O106-P106-Q106-R106-S106-T106-U106-V106)*'Données d''entrée'!$C$372,(V81+Z81+AD81+AH81-O106-Q106-S106-U106)))</f>
        <v>0</v>
      </c>
      <c r="V133" s="159">
        <f>IF(ISERROR(IF($C133='Données d''entrée'!$B$370,(($F$37*F54+$G$37*G54+$H$37*H54+$I$37*I54)*(1-$C$38)*'Données d''entrée'!$C$374)+U133,($F$37*F54+$G$37*G54+$H$37*H54+$I$37*I54)*D81-O106-Q106-S106-U106)),0,IF($C133='Données d''entrée'!$B$370,(($F$37*F54+$G$37*G54+$H$37*H54+$I$37*I54)*(1-$C$38)*'Données d''entrée'!$C$374)+U133,($F$37*F54+$G$37*G54+$H$37*H54+$I$37*I54)*D81-O106-Q106-S106-U106))</f>
        <v>0</v>
      </c>
      <c r="W133" s="159">
        <f>IF(ISERROR(IF($C133='Données d''entrée'!$B$370,(V81+W81+Z81+AA81+AD81+AE81+AH81+AI81-O106-P106-Q106-R106-S106-T106-U106-V106)*'Données d''entrée'!$C$371,(W81+AA81+AE81+AI81-P106-R106-T106-V106))),0,IF($C133='Données d''entrée'!$B$370,(V81+W81+Z81+AA81+AD81+AE81+AH81+AI81-O106-P106-Q106-R106-S106-T106-U106-V106)*'Données d''entrée'!$C$371,(W81+AA81+AE81+AI81-P106-R106-T106-V106)))</f>
        <v>0</v>
      </c>
      <c r="X133" s="159">
        <f>IF(ISERROR(IF($C133='Données d''entrée'!$B$370,(($F$37*F54+$G$37*G54+$H$37*H54+$I$37*I54)*(1-$C$38)*'Données d''entrée'!$C$373)+W133,($F$37*F54+$G$37*G54+$H$37*H54+$I$37*I54)*E81-P106-R106-T106-V106)),0,IF($C133='Données d''entrée'!$B$370,(($F$37*F54+$G$37*G54+$H$37*H54+$I$37*I54)*(1-$C$38)*'Données d''entrée'!$C$373)+W133,($F$37*F54+$G$37*G54+$H$37*H54+$I$37*I54)*E81-P106-R106-T106-V106))</f>
        <v>0</v>
      </c>
      <c r="Y133" s="117">
        <f t="shared" si="103"/>
        <v>0</v>
      </c>
      <c r="Z133" s="117">
        <f t="shared" si="104"/>
        <v>0</v>
      </c>
      <c r="AA133" s="117">
        <f t="shared" si="105"/>
        <v>0</v>
      </c>
      <c r="AB133" s="117">
        <f t="shared" si="106"/>
        <v>0</v>
      </c>
      <c r="AC133"/>
      <c r="AD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row>
    <row r="134" spans="1:184" hidden="1" x14ac:dyDescent="0.35">
      <c r="A134" s="130">
        <v>8</v>
      </c>
      <c r="B134" s="131" t="str">
        <f>IF(Exploitation!B22="","",Exploitation!B22)</f>
        <v/>
      </c>
      <c r="C134" s="155" t="str">
        <f t="shared" si="99"/>
        <v/>
      </c>
      <c r="D134" s="139" t="str">
        <f>IF(Exploitation!L61="","",Exploitation!L61)</f>
        <v/>
      </c>
      <c r="E134" s="139" t="str">
        <f>IF(Exploitation!K61="","",Exploitation!K61)</f>
        <v/>
      </c>
      <c r="F134" s="156" t="str">
        <f>IF(ISERROR(VLOOKUP(D134,Exploitation!$B$80:$H$84,3,FALSE)),"",VLOOKUP(D134,Exploitation!$B$80:$H$84,3,FALSE))</f>
        <v/>
      </c>
      <c r="G134" s="156" t="str">
        <f>IF(ISERROR(VLOOKUP(E134,Exploitation!$B$80:$H$84,3,FALSE)),"",VLOOKUP(E134,Exploitation!$B$80:$H$84,3,FALSE))</f>
        <v/>
      </c>
      <c r="H134" s="156">
        <f>IF(ISERROR(Exploitation!$F61*1000),"",Exploitation!$F61*1000)</f>
        <v>0</v>
      </c>
      <c r="I134" s="140">
        <f>'Données d''entrée'!$C$401</f>
        <v>0.88</v>
      </c>
      <c r="J134" s="157">
        <f>'Données d''entrée'!$C$402</f>
        <v>5.5999999999999999E-3</v>
      </c>
      <c r="K134" s="158">
        <f>IF(ISERROR($H134*$I134*'Données d''entrée'!$C$403),0,$H134*$I134*'Données d''entrée'!$C$403)</f>
        <v>0</v>
      </c>
      <c r="L134" s="158">
        <f t="shared" si="100"/>
        <v>0</v>
      </c>
      <c r="M134" s="159">
        <f>IF(ISERROR(IF($C134='Données d''entrée'!$B$370,(J82+K82+N82+O82+R82+S82-I107-J107-K107-L107-M107-N107)*'Données d''entrée'!$C$372,(J82+N82+R82-I107-K107-M107))),0,IF($C134='Données d''entrée'!$B$370,(J82+K82+N82+O82+R82+S82-I107-J107-K107-L107-M107-N107)*'Données d''entrée'!$C$372,(J82+N82+R82-I107-K107-M107)))</f>
        <v>0</v>
      </c>
      <c r="N134" s="159">
        <f>IF(ISERROR(IF($C134='Données d''entrée'!$B$370,(($C$37*C55+$D$37*D55+$E$37*E55)*(1-$C$38)*'Données d''entrée'!$C$374)+M134,($C$37*C55+$D$37*D55+$E$37*E55)*D82-I107-K107-M107)),0,IF($C134='Données d''entrée'!$B$370,(($C$37*C55+$D$37*D55+$E$37*E55)*(1-$C$38)*'Données d''entrée'!$C$374)+M134,($C$37*C55+$D$37*D55+$E$37*E55)*D82-I107-K107-M107))</f>
        <v>0</v>
      </c>
      <c r="O134" s="159">
        <f>IF(ISERROR(IF($C134='Données d''entrée'!$B$370,(J82+K82+N82+O82+R82+S82-I107-J107-K107-L107-M107-N107)*'Données d''entrée'!$C$371,(K82+O82+S82-J107-L107-N107))),0,IF($C134='Données d''entrée'!$B$370,(J82+K82+N82+O82+R82+S82-I107-J107-K107-L107-M107-N107)*'Données d''entrée'!$C$371,(K82+O82+S82-J107-L107-N107)))</f>
        <v>0</v>
      </c>
      <c r="P134" s="159">
        <f>IF(ISERROR(IF($C134='Données d''entrée'!$B$370,(($C$37*C55+$D$37*D55+$E$37*E55)*(1-$C$38)*'Données d''entrée'!$C$373)+O134,($C$37*C55+$D$37*D55+$E$37*E55)*E82-J107-L107-N107)),0,IF($C134='Données d''entrée'!$B$370,(($C$37*C55+$D$37*D55+$E$37*E55)*(1-$C$38)*'Données d''entrée'!$C$373)+O134,($C$37*C55+$D$37*D55+$E$37*E55)*E82-J107-L107-N107))</f>
        <v>0</v>
      </c>
      <c r="Q134" s="117">
        <f t="shared" si="107"/>
        <v>0</v>
      </c>
      <c r="R134" s="117">
        <f t="shared" si="101"/>
        <v>0</v>
      </c>
      <c r="S134" s="117">
        <f t="shared" si="108"/>
        <v>0</v>
      </c>
      <c r="T134" s="117">
        <f t="shared" si="102"/>
        <v>0</v>
      </c>
      <c r="U134" s="159">
        <f>IF(ISERROR(IF($C134='Données d''entrée'!$B$370,(V82+W82+Z82+AA82+AD82+AE82+AH82+AI82-O107-P107-Q107-R107-S107-T107-U107-V107)*'Données d''entrée'!$C$372,(V82+Z82+AD82+AH82-O107-Q107-S107-U107))),0,IF($C134='Données d''entrée'!$B$370,(V82+W82+Z82+AA82+AD82+AE82+AH82+AI82-O107-P107-Q107-R107-S107-T107-U107-V107)*'Données d''entrée'!$C$372,(V82+Z82+AD82+AH82-O107-Q107-S107-U107)))</f>
        <v>0</v>
      </c>
      <c r="V134" s="159">
        <f>IF(ISERROR(IF($C134='Données d''entrée'!$B$370,(($F$37*F55+$G$37*G55+$H$37*H55+$I$37*I55)*(1-$C$38)*'Données d''entrée'!$C$374)+U134,($F$37*F55+$G$37*G55+$H$37*H55+$I$37*I55)*D82-O107-Q107-S107-U107)),0,IF($C134='Données d''entrée'!$B$370,(($F$37*F55+$G$37*G55+$H$37*H55+$I$37*I55)*(1-$C$38)*'Données d''entrée'!$C$374)+U134,($F$37*F55+$G$37*G55+$H$37*H55+$I$37*I55)*D82-O107-Q107-S107-U107))</f>
        <v>0</v>
      </c>
      <c r="W134" s="159">
        <f>IF(ISERROR(IF($C134='Données d''entrée'!$B$370,(V82+W82+Z82+AA82+AD82+AE82+AH82+AI82-O107-P107-Q107-R107-S107-T107-U107-V107)*'Données d''entrée'!$C$371,(W82+AA82+AE82+AI82-P107-R107-T107-V107))),0,IF($C134='Données d''entrée'!$B$370,(V82+W82+Z82+AA82+AD82+AE82+AH82+AI82-O107-P107-Q107-R107-S107-T107-U107-V107)*'Données d''entrée'!$C$371,(W82+AA82+AE82+AI82-P107-R107-T107-V107)))</f>
        <v>0</v>
      </c>
      <c r="X134" s="159">
        <f>IF(ISERROR(IF($C134='Données d''entrée'!$B$370,(($F$37*F55+$G$37*G55+$H$37*H55+$I$37*I55)*(1-$C$38)*'Données d''entrée'!$C$373)+W134,($F$37*F55+$G$37*G55+$H$37*H55+$I$37*I55)*E82-P107-R107-T107-V107)),0,IF($C134='Données d''entrée'!$B$370,(($F$37*F55+$G$37*G55+$H$37*H55+$I$37*I55)*(1-$C$38)*'Données d''entrée'!$C$373)+W134,($F$37*F55+$G$37*G55+$H$37*H55+$I$37*I55)*E82-P107-R107-T107-V107))</f>
        <v>0</v>
      </c>
      <c r="Y134" s="117">
        <f t="shared" si="103"/>
        <v>0</v>
      </c>
      <c r="Z134" s="117">
        <f t="shared" si="104"/>
        <v>0</v>
      </c>
      <c r="AA134" s="117">
        <f t="shared" si="105"/>
        <v>0</v>
      </c>
      <c r="AB134" s="117">
        <f t="shared" si="106"/>
        <v>0</v>
      </c>
      <c r="AC134"/>
      <c r="AD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row>
    <row r="135" spans="1:184" hidden="1" x14ac:dyDescent="0.35">
      <c r="A135" s="130">
        <v>9</v>
      </c>
      <c r="B135" s="131" t="str">
        <f>IF(Exploitation!B23="","",Exploitation!B23)</f>
        <v/>
      </c>
      <c r="C135" s="155" t="str">
        <f t="shared" si="99"/>
        <v/>
      </c>
      <c r="D135" s="139" t="str">
        <f>IF(Exploitation!L62="","",Exploitation!L62)</f>
        <v/>
      </c>
      <c r="E135" s="139" t="str">
        <f>IF(Exploitation!K62="","",Exploitation!K62)</f>
        <v/>
      </c>
      <c r="F135" s="156" t="str">
        <f>IF(ISERROR(VLOOKUP(D135,Exploitation!$B$80:$H$84,3,FALSE)),"",VLOOKUP(D135,Exploitation!$B$80:$H$84,3,FALSE))</f>
        <v/>
      </c>
      <c r="G135" s="156" t="str">
        <f>IF(ISERROR(VLOOKUP(E135,Exploitation!$B$80:$H$84,3,FALSE)),"",VLOOKUP(E135,Exploitation!$B$80:$H$84,3,FALSE))</f>
        <v/>
      </c>
      <c r="H135" s="156">
        <f>IF(ISERROR(Exploitation!$F62*1000),"",Exploitation!$F62*1000)</f>
        <v>0</v>
      </c>
      <c r="I135" s="140">
        <f>'Données d''entrée'!$C$401</f>
        <v>0.88</v>
      </c>
      <c r="J135" s="157">
        <f>'Données d''entrée'!$C$402</f>
        <v>5.5999999999999999E-3</v>
      </c>
      <c r="K135" s="158">
        <f>IF(ISERROR($H135*$I135*'Données d''entrée'!$C$403),0,$H135*$I135*'Données d''entrée'!$C$403)</f>
        <v>0</v>
      </c>
      <c r="L135" s="158">
        <f t="shared" si="100"/>
        <v>0</v>
      </c>
      <c r="M135" s="159">
        <f>IF(ISERROR(IF($C135='Données d''entrée'!$B$370,(J83+K83+N83+O83+R83+S83-I108-J108-K108-L108-M108-N108)*'Données d''entrée'!$C$372,(J83+N83+R83-I108-K108-M108))),0,IF($C135='Données d''entrée'!$B$370,(J83+K83+N83+O83+R83+S83-I108-J108-K108-L108-M108-N108)*'Données d''entrée'!$C$372,(J83+N83+R83-I108-K108-M108)))</f>
        <v>0</v>
      </c>
      <c r="N135" s="159">
        <f>IF(ISERROR(IF($C135='Données d''entrée'!$B$370,(($C$37*C56+$D$37*D56+$E$37*E56)*(1-$C$38)*'Données d''entrée'!$C$374)+M135,($C$37*C56+$D$37*D56+$E$37*E56)*D83-I108-K108-M108)),0,IF($C135='Données d''entrée'!$B$370,(($C$37*C56+$D$37*D56+$E$37*E56)*(1-$C$38)*'Données d''entrée'!$C$374)+M135,($C$37*C56+$D$37*D56+$E$37*E56)*D83-I108-K108-M108))</f>
        <v>0</v>
      </c>
      <c r="O135" s="159">
        <f>IF(ISERROR(IF($C135='Données d''entrée'!$B$370,(J83+K83+N83+O83+R83+S83-I108-J108-K108-L108-M108-N108)*'Données d''entrée'!$C$371,(K83+O83+S83-J108-L108-N108))),0,IF($C135='Données d''entrée'!$B$370,(J83+K83+N83+O83+R83+S83-I108-J108-K108-L108-M108-N108)*'Données d''entrée'!$C$371,(K83+O83+S83-J108-L108-N108)))</f>
        <v>0</v>
      </c>
      <c r="P135" s="159">
        <f>IF(ISERROR(IF($C135='Données d''entrée'!$B$370,(($C$37*C56+$D$37*D56+$E$37*E56)*(1-$C$38)*'Données d''entrée'!$C$373)+O135,($C$37*C56+$D$37*D56+$E$37*E56)*E83-J108-L108-N108)),0,IF($C135='Données d''entrée'!$B$370,(($C$37*C56+$D$37*D56+$E$37*E56)*(1-$C$38)*'Données d''entrée'!$C$373)+O135,($C$37*C56+$D$37*D56+$E$37*E56)*E83-J108-L108-N108))</f>
        <v>0</v>
      </c>
      <c r="Q135" s="117">
        <f t="shared" si="107"/>
        <v>0</v>
      </c>
      <c r="R135" s="117">
        <f t="shared" si="101"/>
        <v>0</v>
      </c>
      <c r="S135" s="117">
        <f t="shared" si="108"/>
        <v>0</v>
      </c>
      <c r="T135" s="117">
        <f t="shared" si="102"/>
        <v>0</v>
      </c>
      <c r="U135" s="159">
        <f>IF(ISERROR(IF($C135='Données d''entrée'!$B$370,(V83+W83+Z83+AA83+AD83+AE83+AH83+AI83-O108-P108-Q108-R108-S108-T108-U108-V108)*'Données d''entrée'!$C$372,(V83+Z83+AD83+AH83-O108-Q108-S108-U108))),0,IF($C135='Données d''entrée'!$B$370,(V83+W83+Z83+AA83+AD83+AE83+AH83+AI83-O108-P108-Q108-R108-S108-T108-U108-V108)*'Données d''entrée'!$C$372,(V83+Z83+AD83+AH83-O108-Q108-S108-U108)))</f>
        <v>0</v>
      </c>
      <c r="V135" s="159">
        <f>IF(ISERROR(IF($C135='Données d''entrée'!$B$370,(($F$37*F56+$G$37*G56+$H$37*H56+$I$37*I56)*(1-$C$38)*'Données d''entrée'!$C$374)+U135,($F$37*F56+$G$37*G56+$H$37*H56+$I$37*I56)*D83-O108-Q108-S108-U108)),0,IF($C135='Données d''entrée'!$B$370,(($F$37*F56+$G$37*G56+$H$37*H56+$I$37*I56)*(1-$C$38)*'Données d''entrée'!$C$374)+U135,($F$37*F56+$G$37*G56+$H$37*H56+$I$37*I56)*D83-O108-Q108-S108-U108))</f>
        <v>0</v>
      </c>
      <c r="W135" s="159">
        <f>IF(ISERROR(IF($C135='Données d''entrée'!$B$370,(V83+W83+Z83+AA83+AD83+AE83+AH83+AI83-O108-P108-Q108-R108-S108-T108-U108-V108)*'Données d''entrée'!$C$371,(W83+AA83+AE83+AI83-P108-R108-T108-V108))),0,IF($C135='Données d''entrée'!$B$370,(V83+W83+Z83+AA83+AD83+AE83+AH83+AI83-O108-P108-Q108-R108-S108-T108-U108-V108)*'Données d''entrée'!$C$371,(W83+AA83+AE83+AI83-P108-R108-T108-V108)))</f>
        <v>0</v>
      </c>
      <c r="X135" s="159">
        <f>IF(ISERROR(IF($C135='Données d''entrée'!$B$370,(($F$37*F56+$G$37*G56+$H$37*H56+$I$37*I56)*(1-$C$38)*'Données d''entrée'!$C$373)+W135,($F$37*F56+$G$37*G56+$H$37*H56+$I$37*I56)*E83-P108-R108-T108-V108)),0,IF($C135='Données d''entrée'!$B$370,(($F$37*F56+$G$37*G56+$H$37*H56+$I$37*I56)*(1-$C$38)*'Données d''entrée'!$C$373)+W135,($F$37*F56+$G$37*G56+$H$37*H56+$I$37*I56)*E83-P108-R108-T108-V108))</f>
        <v>0</v>
      </c>
      <c r="Y135" s="117">
        <f t="shared" si="103"/>
        <v>0</v>
      </c>
      <c r="Z135" s="117">
        <f t="shared" si="104"/>
        <v>0</v>
      </c>
      <c r="AA135" s="117">
        <f t="shared" si="105"/>
        <v>0</v>
      </c>
      <c r="AB135" s="117">
        <f t="shared" si="106"/>
        <v>0</v>
      </c>
      <c r="AC135"/>
      <c r="AD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row>
    <row r="136" spans="1:184" hidden="1" x14ac:dyDescent="0.35">
      <c r="A136" s="130">
        <v>10</v>
      </c>
      <c r="B136" s="131" t="str">
        <f>IF(Exploitation!B24="","",Exploitation!B24)</f>
        <v/>
      </c>
      <c r="C136" s="155" t="str">
        <f t="shared" si="99"/>
        <v/>
      </c>
      <c r="D136" s="139" t="str">
        <f>IF(Exploitation!L63="","",Exploitation!L63)</f>
        <v/>
      </c>
      <c r="E136" s="139" t="str">
        <f>IF(Exploitation!K63="","",Exploitation!K63)</f>
        <v/>
      </c>
      <c r="F136" s="156" t="str">
        <f>IF(ISERROR(VLOOKUP(D136,Exploitation!$B$80:$H$84,3,FALSE)),"",VLOOKUP(D136,Exploitation!$B$80:$H$84,3,FALSE))</f>
        <v/>
      </c>
      <c r="G136" s="156" t="str">
        <f>IF(ISERROR(VLOOKUP(E136,Exploitation!$B$80:$H$84,3,FALSE)),"",VLOOKUP(E136,Exploitation!$B$80:$H$84,3,FALSE))</f>
        <v/>
      </c>
      <c r="H136" s="156">
        <f>IF(ISERROR(Exploitation!$F63*1000),"",Exploitation!$F63*1000)</f>
        <v>0</v>
      </c>
      <c r="I136" s="140">
        <f>'Données d''entrée'!$C$401</f>
        <v>0.88</v>
      </c>
      <c r="J136" s="157">
        <f>'Données d''entrée'!$C$402</f>
        <v>5.5999999999999999E-3</v>
      </c>
      <c r="K136" s="158">
        <f>IF(ISERROR($H136*$I136*'Données d''entrée'!$C$403),0,$H136*$I136*'Données d''entrée'!$C$403)</f>
        <v>0</v>
      </c>
      <c r="L136" s="158">
        <f t="shared" si="100"/>
        <v>0</v>
      </c>
      <c r="M136" s="159">
        <f>IF(ISERROR(IF($C136='Données d''entrée'!$B$370,(J84+K84+N84+O84+R84+S84-I109-J109-K109-L109-M109-N109)*'Données d''entrée'!$C$372,(J84+N84+R84-I109-K109-M109))),0,IF($C136='Données d''entrée'!$B$370,(J84+K84+N84+O84+R84+S84-I109-J109-K109-L109-M109-N109)*'Données d''entrée'!$C$372,(J84+N84+R84-I109-K109-M109)))</f>
        <v>0</v>
      </c>
      <c r="N136" s="159">
        <f>IF(ISERROR(IF($C136='Données d''entrée'!$B$370,(($C$37*C57+$D$37*D57+$E$37*E57)*(1-$C$38)*'Données d''entrée'!$C$374)+M136,($C$37*C57+$D$37*D57+$E$37*E57)*D84-I109-K109-M109)),0,IF($C136='Données d''entrée'!$B$370,(($C$37*C57+$D$37*D57+$E$37*E57)*(1-$C$38)*'Données d''entrée'!$C$374)+M136,($C$37*C57+$D$37*D57+$E$37*E57)*D84-I109-K109-M109))</f>
        <v>0</v>
      </c>
      <c r="O136" s="159">
        <f>IF(ISERROR(IF($C136='Données d''entrée'!$B$370,(J84+K84+N84+O84+R84+S84-I109-J109-K109-L109-M109-N109)*'Données d''entrée'!$C$371,(K84+O84+S84-J109-L109-N109))),0,IF($C136='Données d''entrée'!$B$370,(J84+K84+N84+O84+R84+S84-I109-J109-K109-L109-M109-N109)*'Données d''entrée'!$C$371,(K84+O84+S84-J109-L109-N109)))</f>
        <v>0</v>
      </c>
      <c r="P136" s="159">
        <f>IF(ISERROR(IF($C136='Données d''entrée'!$B$370,(($C$37*C57+$D$37*D57+$E$37*E57)*(1-$C$38)*'Données d''entrée'!$C$373)+O136,($C$37*C57+$D$37*D57+$E$37*E57)*E84-J109-L109-N109)),0,IF($C136='Données d''entrée'!$B$370,(($C$37*C57+$D$37*D57+$E$37*E57)*(1-$C$38)*'Données d''entrée'!$C$373)+O136,($C$37*C57+$D$37*D57+$E$37*E57)*E84-J109-L109-N109))</f>
        <v>0</v>
      </c>
      <c r="Q136" s="117">
        <f t="shared" si="107"/>
        <v>0</v>
      </c>
      <c r="R136" s="117">
        <f t="shared" si="101"/>
        <v>0</v>
      </c>
      <c r="S136" s="117">
        <f t="shared" si="108"/>
        <v>0</v>
      </c>
      <c r="T136" s="117">
        <f t="shared" si="102"/>
        <v>0</v>
      </c>
      <c r="U136" s="159">
        <f>IF(ISERROR(IF($C136='Données d''entrée'!$B$370,(V84+W84+Z84+AA84+AD84+AE84+AH84+AI84-O109-P109-Q109-R109-S109-T109-U109-V109)*'Données d''entrée'!$C$372,(V84+Z84+AD84+AH84-O109-Q109-S109-U109))),0,IF($C136='Données d''entrée'!$B$370,(V84+W84+Z84+AA84+AD84+AE84+AH84+AI84-O109-P109-Q109-R109-S109-T109-U109-V109)*'Données d''entrée'!$C$372,(V84+Z84+AD84+AH84-O109-Q109-S109-U109)))</f>
        <v>0</v>
      </c>
      <c r="V136" s="159">
        <f>IF(ISERROR(IF($C136='Données d''entrée'!$B$370,(($F$37*F57+$G$37*G57+$H$37*H57+$I$37*I57)*(1-$C$38)*'Données d''entrée'!$C$374)+U136,($F$37*F57+$G$37*G57+$H$37*H57+$I$37*I57)*D84-O109-Q109-S109-U109)),0,IF($C136='Données d''entrée'!$B$370,(($F$37*F57+$G$37*G57+$H$37*H57+$I$37*I57)*(1-$C$38)*'Données d''entrée'!$C$374)+U136,($F$37*F57+$G$37*G57+$H$37*H57+$I$37*I57)*D84-O109-Q109-S109-U109))</f>
        <v>0</v>
      </c>
      <c r="W136" s="159">
        <f>IF(ISERROR(IF($C136='Données d''entrée'!$B$370,(V84+W84+Z84+AA84+AD84+AE84+AH84+AI84-O109-P109-Q109-R109-S109-T109-U109-V109)*'Données d''entrée'!$C$371,(W84+AA84+AE84+AI84-P109-R109-T109-V109))),0,IF($C136='Données d''entrée'!$B$370,(V84+W84+Z84+AA84+AD84+AE84+AH84+AI84-O109-P109-Q109-R109-S109-T109-U109-V109)*'Données d''entrée'!$C$371,(W84+AA84+AE84+AI84-P109-R109-T109-V109)))</f>
        <v>0</v>
      </c>
      <c r="X136" s="159">
        <f>IF(ISERROR(IF($C136='Données d''entrée'!$B$370,(($F$37*F57+$G$37*G57+$H$37*H57+$I$37*I57)*(1-$C$38)*'Données d''entrée'!$C$373)+W136,($F$37*F57+$G$37*G57+$H$37*H57+$I$37*I57)*E84-P109-R109-T109-V109)),0,IF($C136='Données d''entrée'!$B$370,(($F$37*F57+$G$37*G57+$H$37*H57+$I$37*I57)*(1-$C$38)*'Données d''entrée'!$C$373)+W136,($F$37*F57+$G$37*G57+$H$37*H57+$I$37*I57)*E84-P109-R109-T109-V109))</f>
        <v>0</v>
      </c>
      <c r="Y136" s="117">
        <f t="shared" si="103"/>
        <v>0</v>
      </c>
      <c r="Z136" s="117">
        <f t="shared" si="104"/>
        <v>0</v>
      </c>
      <c r="AA136" s="117">
        <f t="shared" si="105"/>
        <v>0</v>
      </c>
      <c r="AB136" s="117">
        <f t="shared" si="106"/>
        <v>0</v>
      </c>
      <c r="AC136"/>
      <c r="AD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row>
    <row r="137" spans="1:184" hidden="1" x14ac:dyDescent="0.35">
      <c r="A137" s="130">
        <v>11</v>
      </c>
      <c r="B137" s="131" t="str">
        <f>IF(Exploitation!B25="","",Exploitation!B25)</f>
        <v/>
      </c>
      <c r="C137" s="155" t="str">
        <f t="shared" si="99"/>
        <v/>
      </c>
      <c r="D137" s="139" t="str">
        <f>IF(Exploitation!L64="","",Exploitation!L64)</f>
        <v/>
      </c>
      <c r="E137" s="139" t="str">
        <f>IF(Exploitation!K64="","",Exploitation!K64)</f>
        <v/>
      </c>
      <c r="F137" s="156" t="str">
        <f>IF(ISERROR(VLOOKUP(D137,Exploitation!$B$80:$H$84,3,FALSE)),"",VLOOKUP(D137,Exploitation!$B$80:$H$84,3,FALSE))</f>
        <v/>
      </c>
      <c r="G137" s="156" t="str">
        <f>IF(ISERROR(VLOOKUP(E137,Exploitation!$B$80:$H$84,3,FALSE)),"",VLOOKUP(E137,Exploitation!$B$80:$H$84,3,FALSE))</f>
        <v/>
      </c>
      <c r="H137" s="156">
        <f>IF(ISERROR(Exploitation!$F64*1000),"",Exploitation!$F64*1000)</f>
        <v>0</v>
      </c>
      <c r="I137" s="140">
        <f>'Données d''entrée'!$C$401</f>
        <v>0.88</v>
      </c>
      <c r="J137" s="157">
        <f>'Données d''entrée'!$C$402</f>
        <v>5.5999999999999999E-3</v>
      </c>
      <c r="K137" s="158">
        <f>IF(ISERROR($H137*$I137*'Données d''entrée'!$C$403),0,$H137*$I137*'Données d''entrée'!$C$403)</f>
        <v>0</v>
      </c>
      <c r="L137" s="158">
        <f t="shared" si="100"/>
        <v>0</v>
      </c>
      <c r="M137" s="159">
        <f>IF(ISERROR(IF($C137='Données d''entrée'!$B$370,(J85+K85+N85+O85+R85+S85-I110-J110-K110-L110-M110-N110)*'Données d''entrée'!$C$372,(J85+N85+R85-I110-K110-M110))),0,IF($C137='Données d''entrée'!$B$370,(J85+K85+N85+O85+R85+S85-I110-J110-K110-L110-M110-N110)*'Données d''entrée'!$C$372,(J85+N85+R85-I110-K110-M110)))</f>
        <v>0</v>
      </c>
      <c r="N137" s="159">
        <f>IF(ISERROR(IF($C137='Données d''entrée'!$B$370,(($C$37*C58+$D$37*D58+$E$37*E58)*(1-$C$38)*'Données d''entrée'!$C$374)+M137,($C$37*C58+$D$37*D58+$E$37*E58)*D85-I110-K110-M110)),0,IF($C137='Données d''entrée'!$B$370,(($C$37*C58+$D$37*D58+$E$37*E58)*(1-$C$38)*'Données d''entrée'!$C$374)+M137,($C$37*C58+$D$37*D58+$E$37*E58)*D85-I110-K110-M110))</f>
        <v>0</v>
      </c>
      <c r="O137" s="159">
        <f>IF(ISERROR(IF($C137='Données d''entrée'!$B$370,(J85+K85+N85+O85+R85+S85-I110-J110-K110-L110-M110-N110)*'Données d''entrée'!$C$371,(K85+O85+S85-J110-L110-N110))),0,IF($C137='Données d''entrée'!$B$370,(J85+K85+N85+O85+R85+S85-I110-J110-K110-L110-M110-N110)*'Données d''entrée'!$C$371,(K85+O85+S85-J110-L110-N110)))</f>
        <v>0</v>
      </c>
      <c r="P137" s="159">
        <f>IF(ISERROR(IF($C137='Données d''entrée'!$B$370,(($C$37*C58+$D$37*D58+$E$37*E58)*(1-$C$38)*'Données d''entrée'!$C$373)+O137,($C$37*C58+$D$37*D58+$E$37*E58)*E85-J110-L110-N110)),0,IF($C137='Données d''entrée'!$B$370,(($C$37*C58+$D$37*D58+$E$37*E58)*(1-$C$38)*'Données d''entrée'!$C$373)+O137,($C$37*C58+$D$37*D58+$E$37*E58)*E85-J110-L110-N110))</f>
        <v>0</v>
      </c>
      <c r="Q137" s="117">
        <f t="shared" si="107"/>
        <v>0</v>
      </c>
      <c r="R137" s="117">
        <f t="shared" si="101"/>
        <v>0</v>
      </c>
      <c r="S137" s="117">
        <f t="shared" si="108"/>
        <v>0</v>
      </c>
      <c r="T137" s="117">
        <f t="shared" si="102"/>
        <v>0</v>
      </c>
      <c r="U137" s="159">
        <f>IF(ISERROR(IF($C137='Données d''entrée'!$B$370,(V85+W85+Z85+AA85+AD85+AE85+AH85+AI85-O110-P110-Q110-R110-S110-T110-U110-V110)*'Données d''entrée'!$C$372,(V85+Z85+AD85+AH85-O110-Q110-S110-U110))),0,IF($C137='Données d''entrée'!$B$370,(V85+W85+Z85+AA85+AD85+AE85+AH85+AI85-O110-P110-Q110-R110-S110-T110-U110-V110)*'Données d''entrée'!$C$372,(V85+Z85+AD85+AH85-O110-Q110-S110-U110)))</f>
        <v>0</v>
      </c>
      <c r="V137" s="159">
        <f>IF(ISERROR(IF($C137='Données d''entrée'!$B$370,(($F$37*F58+$G$37*G58+$H$37*H58+$I$37*I58)*(1-$C$38)*'Données d''entrée'!$C$374)+U137,($F$37*F58+$G$37*G58+$H$37*H58+$I$37*I58)*D85-O110-Q110-S110-U110)),0,IF($C137='Données d''entrée'!$B$370,(($F$37*F58+$G$37*G58+$H$37*H58+$I$37*I58)*(1-$C$38)*'Données d''entrée'!$C$374)+U137,($F$37*F58+$G$37*G58+$H$37*H58+$I$37*I58)*D85-O110-Q110-S110-U110))</f>
        <v>0</v>
      </c>
      <c r="W137" s="159">
        <f>IF(ISERROR(IF($C137='Données d''entrée'!$B$370,(V85+W85+Z85+AA85+AD85+AE85+AH85+AI85-O110-P110-Q110-R110-S110-T110-U110-V110)*'Données d''entrée'!$C$371,(W85+AA85+AE85+AI85-P110-R110-T110-V110))),0,IF($C137='Données d''entrée'!$B$370,(V85+W85+Z85+AA85+AD85+AE85+AH85+AI85-O110-P110-Q110-R110-S110-T110-U110-V110)*'Données d''entrée'!$C$371,(W85+AA85+AE85+AI85-P110-R110-T110-V110)))</f>
        <v>0</v>
      </c>
      <c r="X137" s="159">
        <f>IF(ISERROR(IF($C137='Données d''entrée'!$B$370,(($F$37*F58+$G$37*G58+$H$37*H58+$I$37*I58)*(1-$C$38)*'Données d''entrée'!$C$373)+W137,($F$37*F58+$G$37*G58+$H$37*H58+$I$37*I58)*E85-P110-R110-T110-V110)),0,IF($C137='Données d''entrée'!$B$370,(($F$37*F58+$G$37*G58+$H$37*H58+$I$37*I58)*(1-$C$38)*'Données d''entrée'!$C$373)+W137,($F$37*F58+$G$37*G58+$H$37*H58+$I$37*I58)*E85-P110-R110-T110-V110))</f>
        <v>0</v>
      </c>
      <c r="Y137" s="117">
        <f t="shared" si="103"/>
        <v>0</v>
      </c>
      <c r="Z137" s="117">
        <f t="shared" si="104"/>
        <v>0</v>
      </c>
      <c r="AA137" s="117">
        <f t="shared" si="105"/>
        <v>0</v>
      </c>
      <c r="AB137" s="117">
        <f t="shared" si="106"/>
        <v>0</v>
      </c>
      <c r="AC137"/>
      <c r="AD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row>
    <row r="138" spans="1:184" hidden="1" x14ac:dyDescent="0.35">
      <c r="A138" s="130">
        <v>12</v>
      </c>
      <c r="B138" s="131" t="str">
        <f>IF(Exploitation!B26="","",Exploitation!B26)</f>
        <v/>
      </c>
      <c r="C138" s="155" t="str">
        <f t="shared" si="99"/>
        <v/>
      </c>
      <c r="D138" s="139" t="str">
        <f>IF(Exploitation!L65="","",Exploitation!L65)</f>
        <v/>
      </c>
      <c r="E138" s="139" t="str">
        <f>IF(Exploitation!K65="","",Exploitation!K65)</f>
        <v/>
      </c>
      <c r="F138" s="156" t="str">
        <f>IF(ISERROR(VLOOKUP(D138,Exploitation!$B$80:$H$84,3,FALSE)),"",VLOOKUP(D138,Exploitation!$B$80:$H$84,3,FALSE))</f>
        <v/>
      </c>
      <c r="G138" s="156" t="str">
        <f>IF(ISERROR(VLOOKUP(E138,Exploitation!$B$80:$H$84,3,FALSE)),"",VLOOKUP(E138,Exploitation!$B$80:$H$84,3,FALSE))</f>
        <v/>
      </c>
      <c r="H138" s="156">
        <f>IF(ISERROR(Exploitation!$F65*1000),"",Exploitation!$F65*1000)</f>
        <v>0</v>
      </c>
      <c r="I138" s="140">
        <f>'Données d''entrée'!$C$401</f>
        <v>0.88</v>
      </c>
      <c r="J138" s="157">
        <f>'Données d''entrée'!$C$402</f>
        <v>5.5999999999999999E-3</v>
      </c>
      <c r="K138" s="158">
        <f>IF(ISERROR($H138*$I138*'Données d''entrée'!$C$403),0,$H138*$I138*'Données d''entrée'!$C$403)</f>
        <v>0</v>
      </c>
      <c r="L138" s="158">
        <f t="shared" si="100"/>
        <v>0</v>
      </c>
      <c r="M138" s="159">
        <f>IF(ISERROR(IF($C138='Données d''entrée'!$B$370,(J86+K86+N86+O86+R86+S86-I111-J111-K111-L111-M111-N111)*'Données d''entrée'!$C$372,(J86+N86+R86-I111-K111-M111))),0,IF($C138='Données d''entrée'!$B$370,(J86+K86+N86+O86+R86+S86-I111-J111-K111-L111-M111-N111)*'Données d''entrée'!$C$372,(J86+N86+R86-I111-K111-M111)))</f>
        <v>0</v>
      </c>
      <c r="N138" s="159">
        <f>IF(ISERROR(IF($C138='Données d''entrée'!$B$370,(($C$37*C59+$D$37*D59+$E$37*E59)*(1-$C$38)*'Données d''entrée'!$C$374)+M138,($C$37*C59+$D$37*D59+$E$37*E59)*D86-I111-K111-M111)),0,IF($C138='Données d''entrée'!$B$370,(($C$37*C59+$D$37*D59+$E$37*E59)*(1-$C$38)*'Données d''entrée'!$C$374)+M138,($C$37*C59+$D$37*D59+$E$37*E59)*D86-I111-K111-M111))</f>
        <v>0</v>
      </c>
      <c r="O138" s="159">
        <f>IF(ISERROR(IF($C138='Données d''entrée'!$B$370,(J86+K86+N86+O86+R86+S86-I111-J111-K111-L111-M111-N111)*'Données d''entrée'!$C$371,(K86+O86+S86-J111-L111-N111))),0,IF($C138='Données d''entrée'!$B$370,(J86+K86+N86+O86+R86+S86-I111-J111-K111-L111-M111-N111)*'Données d''entrée'!$C$371,(K86+O86+S86-J111-L111-N111)))</f>
        <v>0</v>
      </c>
      <c r="P138" s="159">
        <f>IF(ISERROR(IF($C138='Données d''entrée'!$B$370,(($C$37*C59+$D$37*D59+$E$37*E59)*(1-$C$38)*'Données d''entrée'!$C$373)+O138,($C$37*C59+$D$37*D59+$E$37*E59)*E86-J111-L111-N111)),0,IF($C138='Données d''entrée'!$B$370,(($C$37*C59+$D$37*D59+$E$37*E59)*(1-$C$38)*'Données d''entrée'!$C$373)+O138,($C$37*C59+$D$37*D59+$E$37*E59)*E86-J111-L111-N111))</f>
        <v>0</v>
      </c>
      <c r="Q138" s="117">
        <f t="shared" si="107"/>
        <v>0</v>
      </c>
      <c r="R138" s="117">
        <f t="shared" si="101"/>
        <v>0</v>
      </c>
      <c r="S138" s="117">
        <f t="shared" si="108"/>
        <v>0</v>
      </c>
      <c r="T138" s="117">
        <f t="shared" si="102"/>
        <v>0</v>
      </c>
      <c r="U138" s="159">
        <f>IF(ISERROR(IF($C138='Données d''entrée'!$B$370,(V86+W86+Z86+AA86+AD86+AE86+AH86+AI86-O111-P111-Q111-R111-S111-T111-U111-V111)*'Données d''entrée'!$C$372,(V86+Z86+AD86+AH86-O111-Q111-S111-U111))),0,IF($C138='Données d''entrée'!$B$370,(V86+W86+Z86+AA86+AD86+AE86+AH86+AI86-O111-P111-Q111-R111-S111-T111-U111-V111)*'Données d''entrée'!$C$372,(V86+Z86+AD86+AH86-O111-Q111-S111-U111)))</f>
        <v>0</v>
      </c>
      <c r="V138" s="159">
        <f>IF(ISERROR(IF($C138='Données d''entrée'!$B$370,(($F$37*F59+$G$37*G59+$H$37*H59+$I$37*I59)*(1-$C$38)*'Données d''entrée'!$C$374)+U138,($F$37*F59+$G$37*G59+$H$37*H59+$I$37*I59)*D86-O111-Q111-S111-U111)),0,IF($C138='Données d''entrée'!$B$370,(($F$37*F59+$G$37*G59+$H$37*H59+$I$37*I59)*(1-$C$38)*'Données d''entrée'!$C$374)+U138,($F$37*F59+$G$37*G59+$H$37*H59+$I$37*I59)*D86-O111-Q111-S111-U111))</f>
        <v>0</v>
      </c>
      <c r="W138" s="159">
        <f>IF(ISERROR(IF($C138='Données d''entrée'!$B$370,(V86+W86+Z86+AA86+AD86+AE86+AH86+AI86-O111-P111-Q111-R111-S111-T111-U111-V111)*'Données d''entrée'!$C$371,(W86+AA86+AE86+AI86-P111-R111-T111-V111))),0,IF($C138='Données d''entrée'!$B$370,(V86+W86+Z86+AA86+AD86+AE86+AH86+AI86-O111-P111-Q111-R111-S111-T111-U111-V111)*'Données d''entrée'!$C$371,(W86+AA86+AE86+AI86-P111-R111-T111-V111)))</f>
        <v>0</v>
      </c>
      <c r="X138" s="159">
        <f>IF(ISERROR(IF($C138='Données d''entrée'!$B$370,(($F$37*F59+$G$37*G59+$H$37*H59+$I$37*I59)*(1-$C$38)*'Données d''entrée'!$C$373)+W138,($F$37*F59+$G$37*G59+$H$37*H59+$I$37*I59)*E86-P111-R111-T111-V111)),0,IF($C138='Données d''entrée'!$B$370,(($F$37*F59+$G$37*G59+$H$37*H59+$I$37*I59)*(1-$C$38)*'Données d''entrée'!$C$373)+W138,($F$37*F59+$G$37*G59+$H$37*H59+$I$37*I59)*E86-P111-R111-T111-V111))</f>
        <v>0</v>
      </c>
      <c r="Y138" s="117">
        <f t="shared" si="103"/>
        <v>0</v>
      </c>
      <c r="Z138" s="117">
        <f t="shared" si="104"/>
        <v>0</v>
      </c>
      <c r="AA138" s="117">
        <f t="shared" si="105"/>
        <v>0</v>
      </c>
      <c r="AB138" s="117">
        <f t="shared" si="106"/>
        <v>0</v>
      </c>
      <c r="AC138"/>
      <c r="AD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row>
    <row r="139" spans="1:184" hidden="1" x14ac:dyDescent="0.35">
      <c r="A139" s="130">
        <v>13</v>
      </c>
      <c r="B139" s="131" t="str">
        <f>IF(Exploitation!B27="","",Exploitation!B27)</f>
        <v/>
      </c>
      <c r="C139" s="155" t="str">
        <f t="shared" si="99"/>
        <v/>
      </c>
      <c r="D139" s="139" t="str">
        <f>IF(Exploitation!L66="","",Exploitation!L66)</f>
        <v/>
      </c>
      <c r="E139" s="139" t="str">
        <f>IF(Exploitation!K66="","",Exploitation!K66)</f>
        <v/>
      </c>
      <c r="F139" s="156" t="str">
        <f>IF(ISERROR(VLOOKUP(D139,Exploitation!$B$80:$H$84,3,FALSE)),"",VLOOKUP(D139,Exploitation!$B$80:$H$84,3,FALSE))</f>
        <v/>
      </c>
      <c r="G139" s="156" t="str">
        <f>IF(ISERROR(VLOOKUP(E139,Exploitation!$B$80:$H$84,3,FALSE)),"",VLOOKUP(E139,Exploitation!$B$80:$H$84,3,FALSE))</f>
        <v/>
      </c>
      <c r="H139" s="156">
        <f>IF(ISERROR(Exploitation!$F66*1000),"",Exploitation!$F66*1000)</f>
        <v>0</v>
      </c>
      <c r="I139" s="140">
        <f>'Données d''entrée'!$C$401</f>
        <v>0.88</v>
      </c>
      <c r="J139" s="157">
        <f>'Données d''entrée'!$C$402</f>
        <v>5.5999999999999999E-3</v>
      </c>
      <c r="K139" s="158">
        <f>IF(ISERROR($H139*$I139*'Données d''entrée'!$C$403),0,$H139*$I139*'Données d''entrée'!$C$403)</f>
        <v>0</v>
      </c>
      <c r="L139" s="158">
        <f t="shared" si="100"/>
        <v>0</v>
      </c>
      <c r="M139" s="159">
        <f>IF(ISERROR(IF($C139='Données d''entrée'!$B$370,(J87+K87+N87+O87+R87+S87-I112-J112-K112-L112-M112-N112)*'Données d''entrée'!$C$372,(J87+N87+R87-I112-K112-M112))),0,IF($C139='Données d''entrée'!$B$370,(J87+K87+N87+O87+R87+S87-I112-J112-K112-L112-M112-N112)*'Données d''entrée'!$C$372,(J87+N87+R87-I112-K112-M112)))</f>
        <v>0</v>
      </c>
      <c r="N139" s="159">
        <f>IF(ISERROR(IF($C139='Données d''entrée'!$B$370,(($C$37*C60+$D$37*D60+$E$37*E60)*(1-$C$38)*'Données d''entrée'!$C$374)+M139,($C$37*C60+$D$37*D60+$E$37*E60)*D87-I112-K112-M112)),0,IF($C139='Données d''entrée'!$B$370,(($C$37*C60+$D$37*D60+$E$37*E60)*(1-$C$38)*'Données d''entrée'!$C$374)+M139,($C$37*C60+$D$37*D60+$E$37*E60)*D87-I112-K112-M112))</f>
        <v>0</v>
      </c>
      <c r="O139" s="159">
        <f>IF(ISERROR(IF($C139='Données d''entrée'!$B$370,(J87+K87+N87+O87+R87+S87-I112-J112-K112-L112-M112-N112)*'Données d''entrée'!$C$371,(K87+O87+S87-J112-L112-N112))),0,IF($C139='Données d''entrée'!$B$370,(J87+K87+N87+O87+R87+S87-I112-J112-K112-L112-M112-N112)*'Données d''entrée'!$C$371,(K87+O87+S87-J112-L112-N112)))</f>
        <v>0</v>
      </c>
      <c r="P139" s="159">
        <f>IF(ISERROR(IF($C139='Données d''entrée'!$B$370,(($C$37*C60+$D$37*D60+$E$37*E60)*(1-$C$38)*'Données d''entrée'!$C$373)+O139,($C$37*C60+$D$37*D60+$E$37*E60)*E87-J112-L112-N112)),0,IF($C139='Données d''entrée'!$B$370,(($C$37*C60+$D$37*D60+$E$37*E60)*(1-$C$38)*'Données d''entrée'!$C$373)+O139,($C$37*C60+$D$37*D60+$E$37*E60)*E87-J112-L112-N112))</f>
        <v>0</v>
      </c>
      <c r="Q139" s="117">
        <f t="shared" si="107"/>
        <v>0</v>
      </c>
      <c r="R139" s="117">
        <f t="shared" si="101"/>
        <v>0</v>
      </c>
      <c r="S139" s="117">
        <f t="shared" si="108"/>
        <v>0</v>
      </c>
      <c r="T139" s="117">
        <f t="shared" si="102"/>
        <v>0</v>
      </c>
      <c r="U139" s="159">
        <f>IF(ISERROR(IF($C139='Données d''entrée'!$B$370,(V87+W87+Z87+AA87+AD87+AE87+AH87+AI87-O112-P112-Q112-R112-S112-T112-U112-V112)*'Données d''entrée'!$C$372,(V87+Z87+AD87+AH87-O112-Q112-S112-U112))),0,IF($C139='Données d''entrée'!$B$370,(V87+W87+Z87+AA87+AD87+AE87+AH87+AI87-O112-P112-Q112-R112-S112-T112-U112-V112)*'Données d''entrée'!$C$372,(V87+Z87+AD87+AH87-O112-Q112-S112-U112)))</f>
        <v>0</v>
      </c>
      <c r="V139" s="159">
        <f>IF(ISERROR(IF($C139='Données d''entrée'!$B$370,(($F$37*F60+$G$37*G60+$H$37*H60+$I$37*I60)*(1-$C$38)*'Données d''entrée'!$C$374)+U139,($F$37*F60+$G$37*G60+$H$37*H60+$I$37*I60)*D87-O112-Q112-S112-U112)),0,IF($C139='Données d''entrée'!$B$370,(($F$37*F60+$G$37*G60+$H$37*H60+$I$37*I60)*(1-$C$38)*'Données d''entrée'!$C$374)+U139,($F$37*F60+$G$37*G60+$H$37*H60+$I$37*I60)*D87-O112-Q112-S112-U112))</f>
        <v>0</v>
      </c>
      <c r="W139" s="159">
        <f>IF(ISERROR(IF($C139='Données d''entrée'!$B$370,(V87+W87+Z87+AA87+AD87+AE87+AH87+AI87-O112-P112-Q112-R112-S112-T112-U112-V112)*'Données d''entrée'!$C$371,(W87+AA87+AE87+AI87-P112-R112-T112-V112))),0,IF($C139='Données d''entrée'!$B$370,(V87+W87+Z87+AA87+AD87+AE87+AH87+AI87-O112-P112-Q112-R112-S112-T112-U112-V112)*'Données d''entrée'!$C$371,(W87+AA87+AE87+AI87-P112-R112-T112-V112)))</f>
        <v>0</v>
      </c>
      <c r="X139" s="159">
        <f>IF(ISERROR(IF($C139='Données d''entrée'!$B$370,(($F$37*F60+$G$37*G60+$H$37*H60+$I$37*I60)*(1-$C$38)*'Données d''entrée'!$C$373)+W139,($F$37*F60+$G$37*G60+$H$37*H60+$I$37*I60)*E87-P112-R112-T112-V112)),0,IF($C139='Données d''entrée'!$B$370,(($F$37*F60+$G$37*G60+$H$37*H60+$I$37*I60)*(1-$C$38)*'Données d''entrée'!$C$373)+W139,($F$37*F60+$G$37*G60+$H$37*H60+$I$37*I60)*E87-P112-R112-T112-V112))</f>
        <v>0</v>
      </c>
      <c r="Y139" s="117">
        <f t="shared" si="103"/>
        <v>0</v>
      </c>
      <c r="Z139" s="117">
        <f t="shared" si="104"/>
        <v>0</v>
      </c>
      <c r="AA139" s="117">
        <f t="shared" si="105"/>
        <v>0</v>
      </c>
      <c r="AB139" s="117">
        <f t="shared" si="106"/>
        <v>0</v>
      </c>
      <c r="AC139"/>
      <c r="AD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row>
    <row r="140" spans="1:184" hidden="1" x14ac:dyDescent="0.35">
      <c r="A140" s="130">
        <v>14</v>
      </c>
      <c r="B140" s="131" t="str">
        <f>IF(Exploitation!B28="","",Exploitation!B28)</f>
        <v/>
      </c>
      <c r="C140" s="155" t="str">
        <f t="shared" si="99"/>
        <v/>
      </c>
      <c r="D140" s="139" t="str">
        <f>IF(Exploitation!L67="","",Exploitation!L67)</f>
        <v/>
      </c>
      <c r="E140" s="139" t="str">
        <f>IF(Exploitation!K67="","",Exploitation!K67)</f>
        <v/>
      </c>
      <c r="F140" s="156" t="str">
        <f>IF(ISERROR(VLOOKUP(D140,Exploitation!$B$80:$H$84,3,FALSE)),"",VLOOKUP(D140,Exploitation!$B$80:$H$84,3,FALSE))</f>
        <v/>
      </c>
      <c r="G140" s="156" t="str">
        <f>IF(ISERROR(VLOOKUP(E140,Exploitation!$B$80:$H$84,3,FALSE)),"",VLOOKUP(E140,Exploitation!$B$80:$H$84,3,FALSE))</f>
        <v/>
      </c>
      <c r="H140" s="156">
        <f>IF(ISERROR(Exploitation!$F67*1000),"",Exploitation!$F67*1000)</f>
        <v>0</v>
      </c>
      <c r="I140" s="140">
        <f>'Données d''entrée'!$C$401</f>
        <v>0.88</v>
      </c>
      <c r="J140" s="157">
        <f>'Données d''entrée'!$C$402</f>
        <v>5.5999999999999999E-3</v>
      </c>
      <c r="K140" s="158">
        <f>IF(ISERROR($H140*$I140*'Données d''entrée'!$C$403),0,$H140*$I140*'Données d''entrée'!$C$403)</f>
        <v>0</v>
      </c>
      <c r="L140" s="158">
        <f t="shared" si="100"/>
        <v>0</v>
      </c>
      <c r="M140" s="159">
        <f>IF(ISERROR(IF($C140='Données d''entrée'!$B$370,(J88+K88+N88+O88+R88+S88-I113-J113-K113-L113-M113-N113)*'Données d''entrée'!$C$372,(J88+N88+R88-I113-K113-M113))),0,IF($C140='Données d''entrée'!$B$370,(J88+K88+N88+O88+R88+S88-I113-J113-K113-L113-M113-N113)*'Données d''entrée'!$C$372,(J88+N88+R88-I113-K113-M113)))</f>
        <v>0</v>
      </c>
      <c r="N140" s="159">
        <f>IF(ISERROR(IF($C140='Données d''entrée'!$B$370,(($C$37*C61+$D$37*D61+$E$37*E61)*(1-$C$38)*'Données d''entrée'!$C$374)+M140,($C$37*C61+$D$37*D61+$E$37*E61)*D88-I113-K113-M113)),0,IF($C140='Données d''entrée'!$B$370,(($C$37*C61+$D$37*D61+$E$37*E61)*(1-$C$38)*'Données d''entrée'!$C$374)+M140,($C$37*C61+$D$37*D61+$E$37*E61)*D88-I113-K113-M113))</f>
        <v>0</v>
      </c>
      <c r="O140" s="159">
        <f>IF(ISERROR(IF($C140='Données d''entrée'!$B$370,(J88+K88+N88+O88+R88+S88-I113-J113-K113-L113-M113-N113)*'Données d''entrée'!$C$371,(K88+O88+S88-J113-L113-N113))),0,IF($C140='Données d''entrée'!$B$370,(J88+K88+N88+O88+R88+S88-I113-J113-K113-L113-M113-N113)*'Données d''entrée'!$C$371,(K88+O88+S88-J113-L113-N113)))</f>
        <v>0</v>
      </c>
      <c r="P140" s="159">
        <f>IF(ISERROR(IF($C140='Données d''entrée'!$B$370,(($C$37*C61+$D$37*D61+$E$37*E61)*(1-$C$38)*'Données d''entrée'!$C$373)+O140,($C$37*C61+$D$37*D61+$E$37*E61)*E88-J113-L113-N113)),0,IF($C140='Données d''entrée'!$B$370,(($C$37*C61+$D$37*D61+$E$37*E61)*(1-$C$38)*'Données d''entrée'!$C$373)+O140,($C$37*C61+$D$37*D61+$E$37*E61)*E88-J113-L113-N113))</f>
        <v>0</v>
      </c>
      <c r="Q140" s="117">
        <f t="shared" si="107"/>
        <v>0</v>
      </c>
      <c r="R140" s="117">
        <f t="shared" si="101"/>
        <v>0</v>
      </c>
      <c r="S140" s="117">
        <f t="shared" si="108"/>
        <v>0</v>
      </c>
      <c r="T140" s="117">
        <f t="shared" si="102"/>
        <v>0</v>
      </c>
      <c r="U140" s="159">
        <f>IF(ISERROR(IF($C140='Données d''entrée'!$B$370,(V88+W88+Z88+AA88+AD88+AE88+AH88+AI88-O113-P113-Q113-R113-S113-T113-U113-V113)*'Données d''entrée'!$C$372,(V88+Z88+AD88+AH88-O113-Q113-S113-U113))),0,IF($C140='Données d''entrée'!$B$370,(V88+W88+Z88+AA88+AD88+AE88+AH88+AI88-O113-P113-Q113-R113-S113-T113-U113-V113)*'Données d''entrée'!$C$372,(V88+Z88+AD88+AH88-O113-Q113-S113-U113)))</f>
        <v>0</v>
      </c>
      <c r="V140" s="159">
        <f>IF(ISERROR(IF($C140='Données d''entrée'!$B$370,(($F$37*F61+$G$37*G61+$H$37*H61+$I$37*I61)*(1-$C$38)*'Données d''entrée'!$C$374)+U140,($F$37*F61+$G$37*G61+$H$37*H61+$I$37*I61)*D88-O113-Q113-S113-U113)),0,IF($C140='Données d''entrée'!$B$370,(($F$37*F61+$G$37*G61+$H$37*H61+$I$37*I61)*(1-$C$38)*'Données d''entrée'!$C$374)+U140,($F$37*F61+$G$37*G61+$H$37*H61+$I$37*I61)*D88-O113-Q113-S113-U113))</f>
        <v>0</v>
      </c>
      <c r="W140" s="159">
        <f>IF(ISERROR(IF($C140='Données d''entrée'!$B$370,(V88+W88+Z88+AA88+AD88+AE88+AH88+AI88-O113-P113-Q113-R113-S113-T113-U113-V113)*'Données d''entrée'!$C$371,(W88+AA88+AE88+AI88-P113-R113-T113-V113))),0,IF($C140='Données d''entrée'!$B$370,(V88+W88+Z88+AA88+AD88+AE88+AH88+AI88-O113-P113-Q113-R113-S113-T113-U113-V113)*'Données d''entrée'!$C$371,(W88+AA88+AE88+AI88-P113-R113-T113-V113)))</f>
        <v>0</v>
      </c>
      <c r="X140" s="159">
        <f>IF(ISERROR(IF($C140='Données d''entrée'!$B$370,(($F$37*F61+$G$37*G61+$H$37*H61+$I$37*I61)*(1-$C$38)*'Données d''entrée'!$C$373)+W140,($F$37*F61+$G$37*G61+$H$37*H61+$I$37*I61)*E88-P113-R113-T113-V113)),0,IF($C140='Données d''entrée'!$B$370,(($F$37*F61+$G$37*G61+$H$37*H61+$I$37*I61)*(1-$C$38)*'Données d''entrée'!$C$373)+W140,($F$37*F61+$G$37*G61+$H$37*H61+$I$37*I61)*E88-P113-R113-T113-V113))</f>
        <v>0</v>
      </c>
      <c r="Y140" s="117">
        <f t="shared" si="103"/>
        <v>0</v>
      </c>
      <c r="Z140" s="117">
        <f t="shared" si="104"/>
        <v>0</v>
      </c>
      <c r="AA140" s="117">
        <f t="shared" si="105"/>
        <v>0</v>
      </c>
      <c r="AB140" s="117">
        <f t="shared" si="106"/>
        <v>0</v>
      </c>
      <c r="AC140"/>
      <c r="AD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row>
    <row r="141" spans="1:184" hidden="1" x14ac:dyDescent="0.35">
      <c r="A141" s="130">
        <v>15</v>
      </c>
      <c r="B141" s="131" t="str">
        <f>IF(Exploitation!B29="","",Exploitation!B29)</f>
        <v/>
      </c>
      <c r="C141" s="155" t="str">
        <f t="shared" si="99"/>
        <v/>
      </c>
      <c r="D141" s="139" t="str">
        <f>IF(Exploitation!L68="","",Exploitation!L68)</f>
        <v/>
      </c>
      <c r="E141" s="139" t="str">
        <f>IF(Exploitation!K68="","",Exploitation!K68)</f>
        <v/>
      </c>
      <c r="F141" s="156" t="str">
        <f>IF(ISERROR(VLOOKUP(D141,Exploitation!$B$80:$H$84,3,FALSE)),"",VLOOKUP(D141,Exploitation!$B$80:$H$84,3,FALSE))</f>
        <v/>
      </c>
      <c r="G141" s="156" t="str">
        <f>IF(ISERROR(VLOOKUP(E141,Exploitation!$B$80:$H$84,3,FALSE)),"",VLOOKUP(E141,Exploitation!$B$80:$H$84,3,FALSE))</f>
        <v/>
      </c>
      <c r="H141" s="156">
        <f>IF(ISERROR(Exploitation!$F68*1000),"",Exploitation!$F68*1000)</f>
        <v>0</v>
      </c>
      <c r="I141" s="140">
        <f>'Données d''entrée'!$C$401</f>
        <v>0.88</v>
      </c>
      <c r="J141" s="157">
        <f>'Données d''entrée'!$C$402</f>
        <v>5.5999999999999999E-3</v>
      </c>
      <c r="K141" s="158">
        <f>IF(ISERROR($H141*$I141*'Données d''entrée'!$C$403),0,$H141*$I141*'Données d''entrée'!$C$403)</f>
        <v>0</v>
      </c>
      <c r="L141" s="158">
        <f t="shared" si="100"/>
        <v>0</v>
      </c>
      <c r="M141" s="159">
        <f>IF(ISERROR(IF($C141='Données d''entrée'!$B$370,(J89+K89+N89+O89+R89+S89-I114-J114-K114-L114-M114-N114)*'Données d''entrée'!$C$372,(J89+N89+R89-I114-K114-M114))),0,IF($C141='Données d''entrée'!$B$370,(J89+K89+N89+O89+R89+S89-I114-J114-K114-L114-M114-N114)*'Données d''entrée'!$C$372,(J89+N89+R89-I114-K114-M114)))</f>
        <v>0</v>
      </c>
      <c r="N141" s="159">
        <f>IF(ISERROR(IF($C141='Données d''entrée'!$B$370,(($C$37*C62+$D$37*D62+$E$37*E62)*(1-$C$38)*'Données d''entrée'!$C$374)+M141,($C$37*C62+$D$37*D62+$E$37*E62)*D89-I114-K114-M114)),0,IF($C141='Données d''entrée'!$B$370,(($C$37*C62+$D$37*D62+$E$37*E62)*(1-$C$38)*'Données d''entrée'!$C$374)+M141,($C$37*C62+$D$37*D62+$E$37*E62)*D89-I114-K114-M114))</f>
        <v>0</v>
      </c>
      <c r="O141" s="159">
        <f>IF(ISERROR(IF($C141='Données d''entrée'!$B$370,(J89+K89+N89+O89+R89+S89-I114-J114-K114-L114-M114-N114)*'Données d''entrée'!$C$371,(K89+O89+S89-J114-L114-N114))),0,IF($C141='Données d''entrée'!$B$370,(J89+K89+N89+O89+R89+S89-I114-J114-K114-L114-M114-N114)*'Données d''entrée'!$C$371,(K89+O89+S89-J114-L114-N114)))</f>
        <v>0</v>
      </c>
      <c r="P141" s="159">
        <f>IF(ISERROR(IF($C141='Données d''entrée'!$B$370,(($C$37*C62+$D$37*D62+$E$37*E62)*(1-$C$38)*'Données d''entrée'!$C$373)+O141,($C$37*C62+$D$37*D62+$E$37*E62)*E89-J114-L114-N114)),0,IF($C141='Données d''entrée'!$B$370,(($C$37*C62+$D$37*D62+$E$37*E62)*(1-$C$38)*'Données d''entrée'!$C$373)+O141,($C$37*C62+$D$37*D62+$E$37*E62)*E89-J114-L114-N114))</f>
        <v>0</v>
      </c>
      <c r="Q141" s="117">
        <f t="shared" si="107"/>
        <v>0</v>
      </c>
      <c r="R141" s="117">
        <f t="shared" si="101"/>
        <v>0</v>
      </c>
      <c r="S141" s="117">
        <f t="shared" si="108"/>
        <v>0</v>
      </c>
      <c r="T141" s="117">
        <f t="shared" si="102"/>
        <v>0</v>
      </c>
      <c r="U141" s="159">
        <f>IF(ISERROR(IF($C141='Données d''entrée'!$B$370,(V89+W89+Z89+AA89+AD89+AE89+AH89+AI89-O114-P114-Q114-R114-S114-T114-U114-V114)*'Données d''entrée'!$C$372,(V89+Z89+AD89+AH89-O114-Q114-S114-U114))),0,IF($C141='Données d''entrée'!$B$370,(V89+W89+Z89+AA89+AD89+AE89+AH89+AI89-O114-P114-Q114-R114-S114-T114-U114-V114)*'Données d''entrée'!$C$372,(V89+Z89+AD89+AH89-O114-Q114-S114-U114)))</f>
        <v>0</v>
      </c>
      <c r="V141" s="159">
        <f>IF(ISERROR(IF($C141='Données d''entrée'!$B$370,(($F$37*F62+$G$37*G62+$H$37*H62+$I$37*I62)*(1-$C$38)*'Données d''entrée'!$C$374)+U141,($F$37*F62+$G$37*G62+$H$37*H62+$I$37*I62)*D89-O114-Q114-S114-U114)),0,IF($C141='Données d''entrée'!$B$370,(($F$37*F62+$G$37*G62+$H$37*H62+$I$37*I62)*(1-$C$38)*'Données d''entrée'!$C$374)+U141,($F$37*F62+$G$37*G62+$H$37*H62+$I$37*I62)*D89-O114-Q114-S114-U114))</f>
        <v>0</v>
      </c>
      <c r="W141" s="159">
        <f>IF(ISERROR(IF($C141='Données d''entrée'!$B$370,(V89+W89+Z89+AA89+AD89+AE89+AH89+AI89-O114-P114-Q114-R114-S114-T114-U114-V114)*'Données d''entrée'!$C$371,(W89+AA89+AE89+AI89-P114-R114-T114-V114))),0,IF($C141='Données d''entrée'!$B$370,(V89+W89+Z89+AA89+AD89+AE89+AH89+AI89-O114-P114-Q114-R114-S114-T114-U114-V114)*'Données d''entrée'!$C$371,(W89+AA89+AE89+AI89-P114-R114-T114-V114)))</f>
        <v>0</v>
      </c>
      <c r="X141" s="159">
        <f>IF(ISERROR(IF($C141='Données d''entrée'!$B$370,(($F$37*F62+$G$37*G62+$H$37*H62+$I$37*I62)*(1-$C$38)*'Données d''entrée'!$C$373)+W141,($F$37*F62+$G$37*G62+$H$37*H62+$I$37*I62)*E89-P114-R114-T114-V114)),0,IF($C141='Données d''entrée'!$B$370,(($F$37*F62+$G$37*G62+$H$37*H62+$I$37*I62)*(1-$C$38)*'Données d''entrée'!$C$373)+W141,($F$37*F62+$G$37*G62+$H$37*H62+$I$37*I62)*E89-P114-R114-T114-V114))</f>
        <v>0</v>
      </c>
      <c r="Y141" s="117">
        <f t="shared" si="103"/>
        <v>0</v>
      </c>
      <c r="Z141" s="117">
        <f t="shared" si="104"/>
        <v>0</v>
      </c>
      <c r="AA141" s="117">
        <f t="shared" si="105"/>
        <v>0</v>
      </c>
      <c r="AB141" s="117">
        <f t="shared" si="106"/>
        <v>0</v>
      </c>
      <c r="AC141"/>
      <c r="AD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row>
    <row r="142" spans="1:184" hidden="1" x14ac:dyDescent="0.35">
      <c r="A142" s="130">
        <v>16</v>
      </c>
      <c r="B142" s="131" t="str">
        <f>IF(Exploitation!B30="","",Exploitation!B30)</f>
        <v/>
      </c>
      <c r="C142" s="155" t="str">
        <f t="shared" si="99"/>
        <v/>
      </c>
      <c r="D142" s="139" t="str">
        <f>IF(Exploitation!L69="","",Exploitation!L69)</f>
        <v/>
      </c>
      <c r="E142" s="139" t="str">
        <f>IF(Exploitation!K69="","",Exploitation!K69)</f>
        <v/>
      </c>
      <c r="F142" s="156" t="str">
        <f>IF(ISERROR(VLOOKUP(D142,Exploitation!$B$80:$H$84,3,FALSE)),"",VLOOKUP(D142,Exploitation!$B$80:$H$84,3,FALSE))</f>
        <v/>
      </c>
      <c r="G142" s="156" t="str">
        <f>IF(ISERROR(VLOOKUP(E142,Exploitation!$B$80:$H$84,3,FALSE)),"",VLOOKUP(E142,Exploitation!$B$80:$H$84,3,FALSE))</f>
        <v/>
      </c>
      <c r="H142" s="156">
        <f>IF(ISERROR(Exploitation!$F69*1000),"",Exploitation!$F69*1000)</f>
        <v>0</v>
      </c>
      <c r="I142" s="140">
        <f>'Données d''entrée'!$C$401</f>
        <v>0.88</v>
      </c>
      <c r="J142" s="157">
        <f>'Données d''entrée'!$C$402</f>
        <v>5.5999999999999999E-3</v>
      </c>
      <c r="K142" s="158">
        <f>IF(ISERROR($H142*$I142*'Données d''entrée'!$C$403),0,$H142*$I142*'Données d''entrée'!$C$403)</f>
        <v>0</v>
      </c>
      <c r="L142" s="158">
        <f t="shared" si="100"/>
        <v>0</v>
      </c>
      <c r="M142" s="159">
        <f>IF(ISERROR(IF($C142='Données d''entrée'!$B$370,(J90+K90+N90+O90+R90+S90-I115-J115-K115-L115-M115-N115)*'Données d''entrée'!$C$372,(J90+N90+R90-I115-K115-M115))),0,IF($C142='Données d''entrée'!$B$370,(J90+K90+N90+O90+R90+S90-I115-J115-K115-L115-M115-N115)*'Données d''entrée'!$C$372,(J90+N90+R90-I115-K115-M115)))</f>
        <v>0</v>
      </c>
      <c r="N142" s="159">
        <f>IF(ISERROR(IF($C142='Données d''entrée'!$B$370,(($C$37*C63+$D$37*D63+$E$37*E63)*(1-$C$38)*'Données d''entrée'!$C$374)+M142,($C$37*C63+$D$37*D63+$E$37*E63)*D90-I115-K115-M115)),0,IF($C142='Données d''entrée'!$B$370,(($C$37*C63+$D$37*D63+$E$37*E63)*(1-$C$38)*'Données d''entrée'!$C$374)+M142,($C$37*C63+$D$37*D63+$E$37*E63)*D90-I115-K115-M115))</f>
        <v>0</v>
      </c>
      <c r="O142" s="159">
        <f>IF(ISERROR(IF($C142='Données d''entrée'!$B$370,(J90+K90+N90+O90+R90+S90-I115-J115-K115-L115-M115-N115)*'Données d''entrée'!$C$371,(K90+O90+S90-J115-L115-N115))),0,IF($C142='Données d''entrée'!$B$370,(J90+K90+N90+O90+R90+S90-I115-J115-K115-L115-M115-N115)*'Données d''entrée'!$C$371,(K90+O90+S90-J115-L115-N115)))</f>
        <v>0</v>
      </c>
      <c r="P142" s="159">
        <f>IF(ISERROR(IF($C142='Données d''entrée'!$B$370,(($C$37*C63+$D$37*D63+$E$37*E63)*(1-$C$38)*'Données d''entrée'!$C$373)+O142,($C$37*C63+$D$37*D63+$E$37*E63)*E90-J115-L115-N115)),0,IF($C142='Données d''entrée'!$B$370,(($C$37*C63+$D$37*D63+$E$37*E63)*(1-$C$38)*'Données d''entrée'!$C$373)+O142,($C$37*C63+$D$37*D63+$E$37*E63)*E90-J115-L115-N115))</f>
        <v>0</v>
      </c>
      <c r="Q142" s="117">
        <f t="shared" si="107"/>
        <v>0</v>
      </c>
      <c r="R142" s="117">
        <f t="shared" si="101"/>
        <v>0</v>
      </c>
      <c r="S142" s="117">
        <f t="shared" si="108"/>
        <v>0</v>
      </c>
      <c r="T142" s="117">
        <f t="shared" si="102"/>
        <v>0</v>
      </c>
      <c r="U142" s="159">
        <f>IF(ISERROR(IF($C142='Données d''entrée'!$B$370,(V90+W90+Z90+AA90+AD90+AE90+AH90+AI90-O115-P115-Q115-R115-S115-T115-U115-V115)*'Données d''entrée'!$C$372,(V90+Z90+AD90+AH90-O115-Q115-S115-U115))),0,IF($C142='Données d''entrée'!$B$370,(V90+W90+Z90+AA90+AD90+AE90+AH90+AI90-O115-P115-Q115-R115-S115-T115-U115-V115)*'Données d''entrée'!$C$372,(V90+Z90+AD90+AH90-O115-Q115-S115-U115)))</f>
        <v>0</v>
      </c>
      <c r="V142" s="159">
        <f>IF(ISERROR(IF($C142='Données d''entrée'!$B$370,(($F$37*F63+$G$37*G63+$H$37*H63+$I$37*I63)*(1-$C$38)*'Données d''entrée'!$C$374)+U142,($F$37*F63+$G$37*G63+$H$37*H63+$I$37*I63)*D90-O115-Q115-S115-U115)),0,IF($C142='Données d''entrée'!$B$370,(($F$37*F63+$G$37*G63+$H$37*H63+$I$37*I63)*(1-$C$38)*'Données d''entrée'!$C$374)+U142,($F$37*F63+$G$37*G63+$H$37*H63+$I$37*I63)*D90-O115-Q115-S115-U115))</f>
        <v>0</v>
      </c>
      <c r="W142" s="159">
        <f>IF(ISERROR(IF($C142='Données d''entrée'!$B$370,(V90+W90+Z90+AA90+AD90+AE90+AH90+AI90-O115-P115-Q115-R115-S115-T115-U115-V115)*'Données d''entrée'!$C$371,(W90+AA90+AE90+AI90-P115-R115-T115-V115))),0,IF($C142='Données d''entrée'!$B$370,(V90+W90+Z90+AA90+AD90+AE90+AH90+AI90-O115-P115-Q115-R115-S115-T115-U115-V115)*'Données d''entrée'!$C$371,(W90+AA90+AE90+AI90-P115-R115-T115-V115)))</f>
        <v>0</v>
      </c>
      <c r="X142" s="159">
        <f>IF(ISERROR(IF($C142='Données d''entrée'!$B$370,(($F$37*F63+$G$37*G63+$H$37*H63+$I$37*I63)*(1-$C$38)*'Données d''entrée'!$C$373)+W142,($F$37*F63+$G$37*G63+$H$37*H63+$I$37*I63)*E90-P115-R115-T115-V115)),0,IF($C142='Données d''entrée'!$B$370,(($F$37*F63+$G$37*G63+$H$37*H63+$I$37*I63)*(1-$C$38)*'Données d''entrée'!$C$373)+W142,($F$37*F63+$G$37*G63+$H$37*H63+$I$37*I63)*E90-P115-R115-T115-V115))</f>
        <v>0</v>
      </c>
      <c r="Y142" s="117">
        <f t="shared" si="103"/>
        <v>0</v>
      </c>
      <c r="Z142" s="117">
        <f t="shared" si="104"/>
        <v>0</v>
      </c>
      <c r="AA142" s="117">
        <f t="shared" si="105"/>
        <v>0</v>
      </c>
      <c r="AB142" s="117">
        <f t="shared" si="106"/>
        <v>0</v>
      </c>
      <c r="AC142"/>
      <c r="AD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row>
    <row r="143" spans="1:184" hidden="1" x14ac:dyDescent="0.35">
      <c r="A143" s="130">
        <v>17</v>
      </c>
      <c r="B143" s="131" t="str">
        <f>IF(Exploitation!B31="","",Exploitation!B31)</f>
        <v/>
      </c>
      <c r="C143" s="155" t="str">
        <f t="shared" si="99"/>
        <v/>
      </c>
      <c r="D143" s="139" t="str">
        <f>IF(Exploitation!L70="","",Exploitation!L70)</f>
        <v/>
      </c>
      <c r="E143" s="139" t="str">
        <f>IF(Exploitation!K70="","",Exploitation!K70)</f>
        <v/>
      </c>
      <c r="F143" s="156" t="str">
        <f>IF(ISERROR(VLOOKUP(D143,Exploitation!$B$80:$H$84,3,FALSE)),"",VLOOKUP(D143,Exploitation!$B$80:$H$84,3,FALSE))</f>
        <v/>
      </c>
      <c r="G143" s="156" t="str">
        <f>IF(ISERROR(VLOOKUP(E143,Exploitation!$B$80:$H$84,3,FALSE)),"",VLOOKUP(E143,Exploitation!$B$80:$H$84,3,FALSE))</f>
        <v/>
      </c>
      <c r="H143" s="156">
        <f>IF(ISERROR(Exploitation!$F70*1000),"",Exploitation!$F70*1000)</f>
        <v>0</v>
      </c>
      <c r="I143" s="140">
        <f>'Données d''entrée'!$C$401</f>
        <v>0.88</v>
      </c>
      <c r="J143" s="157">
        <f>'Données d''entrée'!$C$402</f>
        <v>5.5999999999999999E-3</v>
      </c>
      <c r="K143" s="158">
        <f>IF(ISERROR($H143*$I143*'Données d''entrée'!$C$403),0,$H143*$I143*'Données d''entrée'!$C$403)</f>
        <v>0</v>
      </c>
      <c r="L143" s="158">
        <f t="shared" si="100"/>
        <v>0</v>
      </c>
      <c r="M143" s="159">
        <f>IF(ISERROR(IF($C143='Données d''entrée'!$B$370,(J91+K91+N91+O91+R91+S91-I116-J116-K116-L116-M116-N116)*'Données d''entrée'!$C$372,(J91+N91+R91-I116-K116-M116))),0,IF($C143='Données d''entrée'!$B$370,(J91+K91+N91+O91+R91+S91-I116-J116-K116-L116-M116-N116)*'Données d''entrée'!$C$372,(J91+N91+R91-I116-K116-M116)))</f>
        <v>0</v>
      </c>
      <c r="N143" s="159">
        <f>IF(ISERROR(IF($C143='Données d''entrée'!$B$370,(($C$37*C64+$D$37*D64+$E$37*E64)*(1-$C$38)*'Données d''entrée'!$C$374)+M143,($C$37*C64+$D$37*D64+$E$37*E64)*D91-I116-K116-M116)),0,IF($C143='Données d''entrée'!$B$370,(($C$37*C64+$D$37*D64+$E$37*E64)*(1-$C$38)*'Données d''entrée'!$C$374)+M143,($C$37*C64+$D$37*D64+$E$37*E64)*D91-I116-K116-M116))</f>
        <v>0</v>
      </c>
      <c r="O143" s="159">
        <f>IF(ISERROR(IF($C143='Données d''entrée'!$B$370,(J91+K91+N91+O91+R91+S91-I116-J116-K116-L116-M116-N116)*'Données d''entrée'!$C$371,(K91+O91+S91-J116-L116-N116))),0,IF($C143='Données d''entrée'!$B$370,(J91+K91+N91+O91+R91+S91-I116-J116-K116-L116-M116-N116)*'Données d''entrée'!$C$371,(K91+O91+S91-J116-L116-N116)))</f>
        <v>0</v>
      </c>
      <c r="P143" s="159">
        <f>IF(ISERROR(IF($C143='Données d''entrée'!$B$370,(($C$37*C64+$D$37*D64+$E$37*E64)*(1-$C$38)*'Données d''entrée'!$C$373)+O143,($C$37*C64+$D$37*D64+$E$37*E64)*E91-J116-L116-N116)),0,IF($C143='Données d''entrée'!$B$370,(($C$37*C64+$D$37*D64+$E$37*E64)*(1-$C$38)*'Données d''entrée'!$C$373)+O143,($C$37*C64+$D$37*D64+$E$37*E64)*E91-J116-L116-N116))</f>
        <v>0</v>
      </c>
      <c r="Q143" s="117">
        <f t="shared" si="107"/>
        <v>0</v>
      </c>
      <c r="R143" s="117">
        <f t="shared" si="101"/>
        <v>0</v>
      </c>
      <c r="S143" s="117">
        <f t="shared" si="108"/>
        <v>0</v>
      </c>
      <c r="T143" s="117">
        <f t="shared" si="102"/>
        <v>0</v>
      </c>
      <c r="U143" s="159">
        <f>IF(ISERROR(IF($C143='Données d''entrée'!$B$370,(V91+W91+Z91+AA91+AD91+AE91+AH91+AI91-O116-P116-Q116-R116-S116-T116-U116-V116)*'Données d''entrée'!$C$372,(V91+Z91+AD91+AH91-O116-Q116-S116-U116))),0,IF($C143='Données d''entrée'!$B$370,(V91+W91+Z91+AA91+AD91+AE91+AH91+AI91-O116-P116-Q116-R116-S116-T116-U116-V116)*'Données d''entrée'!$C$372,(V91+Z91+AD91+AH91-O116-Q116-S116-U116)))</f>
        <v>0</v>
      </c>
      <c r="V143" s="159">
        <f>IF(ISERROR(IF($C143='Données d''entrée'!$B$370,(($F$37*F64+$G$37*G64+$H$37*H64+$I$37*I64)*(1-$C$38)*'Données d''entrée'!$C$374)+U143,($F$37*F64+$G$37*G64+$H$37*H64+$I$37*I64)*D91-O116-Q116-S116-U116)),0,IF($C143='Données d''entrée'!$B$370,(($F$37*F64+$G$37*G64+$H$37*H64+$I$37*I64)*(1-$C$38)*'Données d''entrée'!$C$374)+U143,($F$37*F64+$G$37*G64+$H$37*H64+$I$37*I64)*D91-O116-Q116-S116-U116))</f>
        <v>0</v>
      </c>
      <c r="W143" s="159">
        <f>IF(ISERROR(IF($C143='Données d''entrée'!$B$370,(V91+W91+Z91+AA91+AD91+AE91+AH91+AI91-O116-P116-Q116-R116-S116-T116-U116-V116)*'Données d''entrée'!$C$371,(W91+AA91+AE91+AI91-P116-R116-T116-V116))),0,IF($C143='Données d''entrée'!$B$370,(V91+W91+Z91+AA91+AD91+AE91+AH91+AI91-O116-P116-Q116-R116-S116-T116-U116-V116)*'Données d''entrée'!$C$371,(W91+AA91+AE91+AI91-P116-R116-T116-V116)))</f>
        <v>0</v>
      </c>
      <c r="X143" s="159">
        <f>IF(ISERROR(IF($C143='Données d''entrée'!$B$370,(($F$37*F64+$G$37*G64+$H$37*H64+$I$37*I64)*(1-$C$38)*'Données d''entrée'!$C$373)+W143,($F$37*F64+$G$37*G64+$H$37*H64+$I$37*I64)*E91-P116-R116-T116-V116)),0,IF($C143='Données d''entrée'!$B$370,(($F$37*F64+$G$37*G64+$H$37*H64+$I$37*I64)*(1-$C$38)*'Données d''entrée'!$C$373)+W143,($F$37*F64+$G$37*G64+$H$37*H64+$I$37*I64)*E91-P116-R116-T116-V116))</f>
        <v>0</v>
      </c>
      <c r="Y143" s="117">
        <f t="shared" si="103"/>
        <v>0</v>
      </c>
      <c r="Z143" s="117">
        <f t="shared" si="104"/>
        <v>0</v>
      </c>
      <c r="AA143" s="117">
        <f t="shared" si="105"/>
        <v>0</v>
      </c>
      <c r="AB143" s="117">
        <f t="shared" si="106"/>
        <v>0</v>
      </c>
      <c r="AC143"/>
      <c r="AD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row>
    <row r="144" spans="1:184" hidden="1" x14ac:dyDescent="0.35">
      <c r="A144" s="130">
        <v>18</v>
      </c>
      <c r="B144" s="131" t="str">
        <f>IF(Exploitation!B32="","",Exploitation!B32)</f>
        <v/>
      </c>
      <c r="C144" s="155" t="str">
        <f t="shared" si="99"/>
        <v/>
      </c>
      <c r="D144" s="139" t="str">
        <f>IF(Exploitation!L71="","",Exploitation!L71)</f>
        <v/>
      </c>
      <c r="E144" s="139" t="str">
        <f>IF(Exploitation!K71="","",Exploitation!K71)</f>
        <v/>
      </c>
      <c r="F144" s="156" t="str">
        <f>IF(ISERROR(VLOOKUP(D144,Exploitation!$B$80:$H$84,3,FALSE)),"",VLOOKUP(D144,Exploitation!$B$80:$H$84,3,FALSE))</f>
        <v/>
      </c>
      <c r="G144" s="156" t="str">
        <f>IF(ISERROR(VLOOKUP(E144,Exploitation!$B$80:$H$84,3,FALSE)),"",VLOOKUP(E144,Exploitation!$B$80:$H$84,3,FALSE))</f>
        <v/>
      </c>
      <c r="H144" s="156">
        <f>IF(ISERROR(Exploitation!$F71*1000),"",Exploitation!$F71*1000)</f>
        <v>0</v>
      </c>
      <c r="I144" s="140">
        <f>'Données d''entrée'!$C$401</f>
        <v>0.88</v>
      </c>
      <c r="J144" s="157">
        <f>'Données d''entrée'!$C$402</f>
        <v>5.5999999999999999E-3</v>
      </c>
      <c r="K144" s="158">
        <f>IF(ISERROR($H144*$I144*'Données d''entrée'!$C$403),0,$H144*$I144*'Données d''entrée'!$C$403)</f>
        <v>0</v>
      </c>
      <c r="L144" s="158">
        <f t="shared" si="100"/>
        <v>0</v>
      </c>
      <c r="M144" s="159">
        <f>IF(ISERROR(IF($C144='Données d''entrée'!$B$370,(J92+K92+N92+O92+R92+S92-I117-J117-K117-L117-M117-N117)*'Données d''entrée'!$C$372,(J92+N92+R92-I117-K117-M117))),0,IF($C144='Données d''entrée'!$B$370,(J92+K92+N92+O92+R92+S92-I117-J117-K117-L117-M117-N117)*'Données d''entrée'!$C$372,(J92+N92+R92-I117-K117-M117)))</f>
        <v>0</v>
      </c>
      <c r="N144" s="159">
        <f>IF(ISERROR(IF($C144='Données d''entrée'!$B$370,(($C$37*C65+$D$37*D65+$E$37*E65)*(1-$C$38)*'Données d''entrée'!$C$374)+M144,($C$37*C65+$D$37*D65+$E$37*E65)*D92-I117-K117-M117)),0,IF($C144='Données d''entrée'!$B$370,(($C$37*C65+$D$37*D65+$E$37*E65)*(1-$C$38)*'Données d''entrée'!$C$374)+M144,($C$37*C65+$D$37*D65+$E$37*E65)*D92-I117-K117-M117))</f>
        <v>0</v>
      </c>
      <c r="O144" s="159">
        <f>IF(ISERROR(IF($C144='Données d''entrée'!$B$370,(J92+K92+N92+O92+R92+S92-I117-J117-K117-L117-M117-N117)*'Données d''entrée'!$C$371,(K92+O92+S92-J117-L117-N117))),0,IF($C144='Données d''entrée'!$B$370,(J92+K92+N92+O92+R92+S92-I117-J117-K117-L117-M117-N117)*'Données d''entrée'!$C$371,(K92+O92+S92-J117-L117-N117)))</f>
        <v>0</v>
      </c>
      <c r="P144" s="159">
        <f>IF(ISERROR(IF($C144='Données d''entrée'!$B$370,(($C$37*C65+$D$37*D65+$E$37*E65)*(1-$C$38)*'Données d''entrée'!$C$373)+O144,($C$37*C65+$D$37*D65+$E$37*E65)*E92-J117-L117-N117)),0,IF($C144='Données d''entrée'!$B$370,(($C$37*C65+$D$37*D65+$E$37*E65)*(1-$C$38)*'Données d''entrée'!$C$373)+O144,($C$37*C65+$D$37*D65+$E$37*E65)*E92-J117-L117-N117))</f>
        <v>0</v>
      </c>
      <c r="Q144" s="117">
        <f t="shared" si="107"/>
        <v>0</v>
      </c>
      <c r="R144" s="117">
        <f t="shared" si="101"/>
        <v>0</v>
      </c>
      <c r="S144" s="117">
        <f t="shared" si="108"/>
        <v>0</v>
      </c>
      <c r="T144" s="117">
        <f t="shared" si="102"/>
        <v>0</v>
      </c>
      <c r="U144" s="159">
        <f>IF(ISERROR(IF($C144='Données d''entrée'!$B$370,(V92+W92+Z92+AA92+AD92+AE92+AH92+AI92-O117-P117-Q117-R117-S117-T117-U117-V117)*'Données d''entrée'!$C$372,(V92+Z92+AD92+AH92-O117-Q117-S117-U117))),0,IF($C144='Données d''entrée'!$B$370,(V92+W92+Z92+AA92+AD92+AE92+AH92+AI92-O117-P117-Q117-R117-S117-T117-U117-V117)*'Données d''entrée'!$C$372,(V92+Z92+AD92+AH92-O117-Q117-S117-U117)))</f>
        <v>0</v>
      </c>
      <c r="V144" s="159">
        <f>IF(ISERROR(IF($C144='Données d''entrée'!$B$370,(($F$37*F65+$G$37*G65+$H$37*H65+$I$37*I65)*(1-$C$38)*'Données d''entrée'!$C$374)+U144,($F$37*F65+$G$37*G65+$H$37*H65+$I$37*I65)*D92-O117-Q117-S117-U117)),0,IF($C144='Données d''entrée'!$B$370,(($F$37*F65+$G$37*G65+$H$37*H65+$I$37*I65)*(1-$C$38)*'Données d''entrée'!$C$374)+U144,($F$37*F65+$G$37*G65+$H$37*H65+$I$37*I65)*D92-O117-Q117-S117-U117))</f>
        <v>0</v>
      </c>
      <c r="W144" s="159">
        <f>IF(ISERROR(IF($C144='Données d''entrée'!$B$370,(V92+W92+Z92+AA92+AD92+AE92+AH92+AI92-O117-P117-Q117-R117-S117-T117-U117-V117)*'Données d''entrée'!$C$371,(W92+AA92+AE92+AI92-P117-R117-T117-V117))),0,IF($C144='Données d''entrée'!$B$370,(V92+W92+Z92+AA92+AD92+AE92+AH92+AI92-O117-P117-Q117-R117-S117-T117-U117-V117)*'Données d''entrée'!$C$371,(W92+AA92+AE92+AI92-P117-R117-T117-V117)))</f>
        <v>0</v>
      </c>
      <c r="X144" s="159">
        <f>IF(ISERROR(IF($C144='Données d''entrée'!$B$370,(($F$37*F65+$G$37*G65+$H$37*H65+$I$37*I65)*(1-$C$38)*'Données d''entrée'!$C$373)+W144,($F$37*F65+$G$37*G65+$H$37*H65+$I$37*I65)*E92-P117-R117-T117-V117)),0,IF($C144='Données d''entrée'!$B$370,(($F$37*F65+$G$37*G65+$H$37*H65+$I$37*I65)*(1-$C$38)*'Données d''entrée'!$C$373)+W144,($F$37*F65+$G$37*G65+$H$37*H65+$I$37*I65)*E92-P117-R117-T117-V117))</f>
        <v>0</v>
      </c>
      <c r="Y144" s="117">
        <f t="shared" si="103"/>
        <v>0</v>
      </c>
      <c r="Z144" s="117">
        <f t="shared" si="104"/>
        <v>0</v>
      </c>
      <c r="AA144" s="117">
        <f t="shared" si="105"/>
        <v>0</v>
      </c>
      <c r="AB144" s="117">
        <f t="shared" si="106"/>
        <v>0</v>
      </c>
      <c r="AC144"/>
      <c r="AD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row>
    <row r="145" spans="1:184" hidden="1" x14ac:dyDescent="0.35">
      <c r="A145" s="130">
        <v>19</v>
      </c>
      <c r="B145" s="131" t="str">
        <f>IF(Exploitation!B33="","",Exploitation!B33)</f>
        <v/>
      </c>
      <c r="C145" s="155" t="str">
        <f t="shared" si="99"/>
        <v/>
      </c>
      <c r="D145" s="139" t="str">
        <f>IF(Exploitation!L72="","",Exploitation!L72)</f>
        <v/>
      </c>
      <c r="E145" s="139" t="str">
        <f>IF(Exploitation!K72="","",Exploitation!K72)</f>
        <v/>
      </c>
      <c r="F145" s="156" t="str">
        <f>IF(ISERROR(VLOOKUP(D145,Exploitation!$B$80:$H$84,3,FALSE)),"",VLOOKUP(D145,Exploitation!$B$80:$H$84,3,FALSE))</f>
        <v/>
      </c>
      <c r="G145" s="156" t="str">
        <f>IF(ISERROR(VLOOKUP(E145,Exploitation!$B$80:$H$84,3,FALSE)),"",VLOOKUP(E145,Exploitation!$B$80:$H$84,3,FALSE))</f>
        <v/>
      </c>
      <c r="H145" s="156">
        <f>IF(ISERROR(Exploitation!$F72*1000),"",Exploitation!$F72*1000)</f>
        <v>0</v>
      </c>
      <c r="I145" s="140">
        <f>'Données d''entrée'!$C$401</f>
        <v>0.88</v>
      </c>
      <c r="J145" s="157">
        <f>'Données d''entrée'!$C$402</f>
        <v>5.5999999999999999E-3</v>
      </c>
      <c r="K145" s="158">
        <f>IF(ISERROR($H145*$I145*'Données d''entrée'!$C$403),0,$H145*$I145*'Données d''entrée'!$C$403)</f>
        <v>0</v>
      </c>
      <c r="L145" s="158">
        <f t="shared" si="100"/>
        <v>0</v>
      </c>
      <c r="M145" s="159">
        <f>IF(ISERROR(IF($C145='Données d''entrée'!$B$370,(J93+K93+N93+O93+R93+S93-I118-J118-K118-L118-M118-N118)*'Données d''entrée'!$C$372,(J93+N93+R93-I118-K118-M118))),0,IF($C145='Données d''entrée'!$B$370,(J93+K93+N93+O93+R93+S93-I118-J118-K118-L118-M118-N118)*'Données d''entrée'!$C$372,(J93+N93+R93-I118-K118-M118)))</f>
        <v>0</v>
      </c>
      <c r="N145" s="159">
        <f>IF(ISERROR(IF($C145='Données d''entrée'!$B$370,(($C$37*C66+$D$37*D66+$E$37*E66)*(1-$C$38)*'Données d''entrée'!$C$374)+M145,($C$37*C66+$D$37*D66+$E$37*E66)*D93-I118-K118-M118)),0,IF($C145='Données d''entrée'!$B$370,(($C$37*C66+$D$37*D66+$E$37*E66)*(1-$C$38)*'Données d''entrée'!$C$374)+M145,($C$37*C66+$D$37*D66+$E$37*E66)*D93-I118-K118-M118))</f>
        <v>0</v>
      </c>
      <c r="O145" s="159">
        <f>IF(ISERROR(IF($C145='Données d''entrée'!$B$370,(J93+K93+N93+O93+R93+S93-I118-J118-K118-L118-M118-N118)*'Données d''entrée'!$C$371,(K93+O93+S93-J118-L118-N118))),0,IF($C145='Données d''entrée'!$B$370,(J93+K93+N93+O93+R93+S93-I118-J118-K118-L118-M118-N118)*'Données d''entrée'!$C$371,(K93+O93+S93-J118-L118-N118)))</f>
        <v>0</v>
      </c>
      <c r="P145" s="159">
        <f>IF(ISERROR(IF($C145='Données d''entrée'!$B$370,(($C$37*C66+$D$37*D66+$E$37*E66)*(1-$C$38)*'Données d''entrée'!$C$373)+O145,($C$37*C66+$D$37*D66+$E$37*E66)*E93-J118-L118-N118)),0,IF($C145='Données d''entrée'!$B$370,(($C$37*C66+$D$37*D66+$E$37*E66)*(1-$C$38)*'Données d''entrée'!$C$373)+O145,($C$37*C66+$D$37*D66+$E$37*E66)*E93-J118-L118-N118))</f>
        <v>0</v>
      </c>
      <c r="Q145" s="117">
        <f t="shared" si="107"/>
        <v>0</v>
      </c>
      <c r="R145" s="117">
        <f t="shared" si="101"/>
        <v>0</v>
      </c>
      <c r="S145" s="117">
        <f t="shared" si="108"/>
        <v>0</v>
      </c>
      <c r="T145" s="117">
        <f t="shared" si="102"/>
        <v>0</v>
      </c>
      <c r="U145" s="159">
        <f>IF(ISERROR(IF($C145='Données d''entrée'!$B$370,(V93+W93+Z93+AA93+AD93+AE93+AH93+AI93-O118-P118-Q118-R118-S118-T118-U118-V118)*'Données d''entrée'!$C$372,(V93+Z93+AD93+AH93-O118-Q118-S118-U118))),0,IF($C145='Données d''entrée'!$B$370,(V93+W93+Z93+AA93+AD93+AE93+AH93+AI93-O118-P118-Q118-R118-S118-T118-U118-V118)*'Données d''entrée'!$C$372,(V93+Z93+AD93+AH93-O118-Q118-S118-U118)))</f>
        <v>0</v>
      </c>
      <c r="V145" s="159">
        <f>IF(ISERROR(IF($C145='Données d''entrée'!$B$370,(($F$37*F66+$G$37*G66+$H$37*H66+$I$37*I66)*(1-$C$38)*'Données d''entrée'!$C$374)+U145,($F$37*F66+$G$37*G66+$H$37*H66+$I$37*I66)*D93-O118-Q118-S118-U118)),0,IF($C145='Données d''entrée'!$B$370,(($F$37*F66+$G$37*G66+$H$37*H66+$I$37*I66)*(1-$C$38)*'Données d''entrée'!$C$374)+U145,($F$37*F66+$G$37*G66+$H$37*H66+$I$37*I66)*D93-O118-Q118-S118-U118))</f>
        <v>0</v>
      </c>
      <c r="W145" s="159">
        <f>IF(ISERROR(IF($C145='Données d''entrée'!$B$370,(V93+W93+Z93+AA93+AD93+AE93+AH93+AI93-O118-P118-Q118-R118-S118-T118-U118-V118)*'Données d''entrée'!$C$371,(W93+AA93+AE93+AI93-P118-R118-T118-V118))),0,IF($C145='Données d''entrée'!$B$370,(V93+W93+Z93+AA93+AD93+AE93+AH93+AI93-O118-P118-Q118-R118-S118-T118-U118-V118)*'Données d''entrée'!$C$371,(W93+AA93+AE93+AI93-P118-R118-T118-V118)))</f>
        <v>0</v>
      </c>
      <c r="X145" s="159">
        <f>IF(ISERROR(IF($C145='Données d''entrée'!$B$370,(($F$37*F66+$G$37*G66+$H$37*H66+$I$37*I66)*(1-$C$38)*'Données d''entrée'!$C$373)+W145,($F$37*F66+$G$37*G66+$H$37*H66+$I$37*I66)*E93-P118-R118-T118-V118)),0,IF($C145='Données d''entrée'!$B$370,(($F$37*F66+$G$37*G66+$H$37*H66+$I$37*I66)*(1-$C$38)*'Données d''entrée'!$C$373)+W145,($F$37*F66+$G$37*G66+$H$37*H66+$I$37*I66)*E93-P118-R118-T118-V118))</f>
        <v>0</v>
      </c>
      <c r="Y145" s="117">
        <f t="shared" si="103"/>
        <v>0</v>
      </c>
      <c r="Z145" s="117">
        <f t="shared" si="104"/>
        <v>0</v>
      </c>
      <c r="AA145" s="117">
        <f t="shared" si="105"/>
        <v>0</v>
      </c>
      <c r="AB145" s="117">
        <f t="shared" si="106"/>
        <v>0</v>
      </c>
      <c r="AC145"/>
      <c r="AD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row>
    <row r="146" spans="1:184" hidden="1" x14ac:dyDescent="0.35">
      <c r="A146" s="130">
        <v>20</v>
      </c>
      <c r="B146" s="131" t="str">
        <f>IF(Exploitation!B34="","",Exploitation!B34)</f>
        <v/>
      </c>
      <c r="C146" s="155" t="str">
        <f t="shared" si="99"/>
        <v/>
      </c>
      <c r="D146" s="139" t="str">
        <f>IF(Exploitation!L73="","",Exploitation!L73)</f>
        <v/>
      </c>
      <c r="E146" s="139" t="str">
        <f>IF(Exploitation!K73="","",Exploitation!K73)</f>
        <v/>
      </c>
      <c r="F146" s="156" t="str">
        <f>IF(ISERROR(VLOOKUP(D146,Exploitation!$B$80:$H$84,3,FALSE)),"",VLOOKUP(D146,Exploitation!$B$80:$H$84,3,FALSE))</f>
        <v/>
      </c>
      <c r="G146" s="156" t="str">
        <f>IF(ISERROR(VLOOKUP(E146,Exploitation!$B$80:$H$84,3,FALSE)),"",VLOOKUP(E146,Exploitation!$B$80:$H$84,3,FALSE))</f>
        <v/>
      </c>
      <c r="H146" s="156">
        <f>IF(ISERROR(Exploitation!$F73*1000),"",Exploitation!$F73*1000)</f>
        <v>0</v>
      </c>
      <c r="I146" s="140">
        <f>'Données d''entrée'!$C$401</f>
        <v>0.88</v>
      </c>
      <c r="J146" s="157">
        <f>'Données d''entrée'!$C$402</f>
        <v>5.5999999999999999E-3</v>
      </c>
      <c r="K146" s="158">
        <f>IF(ISERROR($H146*$I146*'Données d''entrée'!$C$403),0,$H146*$I146*'Données d''entrée'!$C$403)</f>
        <v>0</v>
      </c>
      <c r="L146" s="158">
        <f t="shared" si="100"/>
        <v>0</v>
      </c>
      <c r="M146" s="159">
        <f>IF(ISERROR(IF($C146='Données d''entrée'!$B$370,(J94+K94+N94+O94+R94+S94-I119-J119-K119-L119-M119-N119)*'Données d''entrée'!$C$372,(J94+N94+R94-I119-K119-M119))),0,IF($C146='Données d''entrée'!$B$370,(J94+K94+N94+O94+R94+S94-I119-J119-K119-L119-M119-N119)*'Données d''entrée'!$C$372,(J94+N94+R94-I119-K119-M119)))</f>
        <v>0</v>
      </c>
      <c r="N146" s="159">
        <f>IF(ISERROR(IF($C146='Données d''entrée'!$B$370,(($C$37*C67+$D$37*D67+$E$37*E67)*(1-$C$38)*'Données d''entrée'!$C$374)+M146,($C$37*C67+$D$37*D67+$E$37*E67)*D94-I119-K119-M119)),0,IF($C146='Données d''entrée'!$B$370,(($C$37*C67+$D$37*D67+$E$37*E67)*(1-$C$38)*'Données d''entrée'!$C$374)+M146,($C$37*C67+$D$37*D67+$E$37*E67)*D94-I119-K119-M119))</f>
        <v>0</v>
      </c>
      <c r="O146" s="159">
        <f>IF(ISERROR(IF($C146='Données d''entrée'!$B$370,(J94+K94+N94+O94+R94+S94-I119-J119-K119-L119-M119-N119)*'Données d''entrée'!$C$371,(K94+O94+S94-J119-L119-N119))),0,IF($C146='Données d''entrée'!$B$370,(J94+K94+N94+O94+R94+S94-I119-J119-K119-L119-M119-N119)*'Données d''entrée'!$C$371,(K94+O94+S94-J119-L119-N119)))</f>
        <v>0</v>
      </c>
      <c r="P146" s="159">
        <f>IF(ISERROR(IF($C146='Données d''entrée'!$B$370,(($C$37*C67+$D$37*D67+$E$37*E67)*(1-$C$38)*'Données d''entrée'!$C$373)+O146,($C$37*C67+$D$37*D67+$E$37*E67)*E94-J119-L119-N119)),0,IF($C146='Données d''entrée'!$B$370,(($C$37*C67+$D$37*D67+$E$37*E67)*(1-$C$38)*'Données d''entrée'!$C$373)+O146,($C$37*C67+$D$37*D67+$E$37*E67)*E94-J119-L119-N119))</f>
        <v>0</v>
      </c>
      <c r="Q146" s="117">
        <f t="shared" si="107"/>
        <v>0</v>
      </c>
      <c r="R146" s="117">
        <f t="shared" si="101"/>
        <v>0</v>
      </c>
      <c r="S146" s="117">
        <f t="shared" si="108"/>
        <v>0</v>
      </c>
      <c r="T146" s="117">
        <f t="shared" si="102"/>
        <v>0</v>
      </c>
      <c r="U146" s="159">
        <f>IF(ISERROR(IF($C146='Données d''entrée'!$B$370,(V94+W94+Z94+AA94+AD94+AE94+AH94+AI94-O119-P119-Q119-R119-S119-T119-U119-V119)*'Données d''entrée'!$C$372,(V94+Z94+AD94+AH94-O119-Q119-S119-U119))),0,IF($C146='Données d''entrée'!$B$370,(V94+W94+Z94+AA94+AD94+AE94+AH94+AI94-O119-P119-Q119-R119-S119-T119-U119-V119)*'Données d''entrée'!$C$372,(V94+Z94+AD94+AH94-O119-Q119-S119-U119)))</f>
        <v>0</v>
      </c>
      <c r="V146" s="159">
        <f>IF(ISERROR(IF($C146='Données d''entrée'!$B$370,(($F$37*F67+$G$37*G67+$H$37*H67+$I$37*I67)*(1-$C$38)*'Données d''entrée'!$C$374)+U146,($F$37*F67+$G$37*G67+$H$37*H67+$I$37*I67)*D94-O119-Q119-S119-U119)),0,IF($C146='Données d''entrée'!$B$370,(($F$37*F67+$G$37*G67+$H$37*H67+$I$37*I67)*(1-$C$38)*'Données d''entrée'!$C$374)+U146,($F$37*F67+$G$37*G67+$H$37*H67+$I$37*I67)*D94-O119-Q119-S119-U119))</f>
        <v>0</v>
      </c>
      <c r="W146" s="159">
        <f>IF(ISERROR(IF($C146='Données d''entrée'!$B$370,(V94+W94+Z94+AA94+AD94+AE94+AH94+AI94-O119-P119-Q119-R119-S119-T119-U119-V119)*'Données d''entrée'!$C$371,(W94+AA94+AE94+AI94-P119-R119-T119-V119))),0,IF($C146='Données d''entrée'!$B$370,(V94+W94+Z94+AA94+AD94+AE94+AH94+AI94-O119-P119-Q119-R119-S119-T119-U119-V119)*'Données d''entrée'!$C$371,(W94+AA94+AE94+AI94-P119-R119-T119-V119)))</f>
        <v>0</v>
      </c>
      <c r="X146" s="159">
        <f>IF(ISERROR(IF($C146='Données d''entrée'!$B$370,(($F$37*F67+$G$37*G67+$H$37*H67+$I$37*I67)*(1-$C$38)*'Données d''entrée'!$C$373)+W146,($F$37*F67+$G$37*G67+$H$37*H67+$I$37*I67)*E94-P119-R119-T119-V119)),0,IF($C146='Données d''entrée'!$B$370,(($F$37*F67+$G$37*G67+$H$37*H67+$I$37*I67)*(1-$C$38)*'Données d''entrée'!$C$373)+W146,($F$37*F67+$G$37*G67+$H$37*H67+$I$37*I67)*E94-P119-R119-T119-V119))</f>
        <v>0</v>
      </c>
      <c r="Y146" s="117">
        <f t="shared" si="103"/>
        <v>0</v>
      </c>
      <c r="Z146" s="117">
        <f t="shared" si="104"/>
        <v>0</v>
      </c>
      <c r="AA146" s="117">
        <f t="shared" si="105"/>
        <v>0</v>
      </c>
      <c r="AB146" s="117">
        <f t="shared" si="106"/>
        <v>0</v>
      </c>
      <c r="AC146"/>
      <c r="AD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row>
    <row r="147" spans="1:184" hidden="1" x14ac:dyDescent="0.35">
      <c r="AC147"/>
      <c r="AD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row>
    <row r="148" spans="1:184" hidden="1" x14ac:dyDescent="0.35"/>
    <row r="149" spans="1:184" hidden="1" x14ac:dyDescent="0.35">
      <c r="B149" s="127" t="s">
        <v>580</v>
      </c>
      <c r="L149" s="132"/>
      <c r="N149" s="151"/>
      <c r="O149" s="152"/>
      <c r="AB149" s="153"/>
    </row>
    <row r="150" spans="1:184" hidden="1" x14ac:dyDescent="0.35">
      <c r="B150" s="127"/>
      <c r="N150" s="151"/>
      <c r="O150" s="152"/>
      <c r="AB150" s="153"/>
    </row>
    <row r="151" spans="1:184" ht="29" hidden="1" x14ac:dyDescent="0.35">
      <c r="C151" s="305" t="s">
        <v>575</v>
      </c>
      <c r="E151" s="306" t="s">
        <v>574</v>
      </c>
      <c r="G151" s="44" t="s">
        <v>575</v>
      </c>
      <c r="I151" s="299" t="s">
        <v>574</v>
      </c>
      <c r="L151" s="84" t="s">
        <v>652</v>
      </c>
      <c r="N151" s="151"/>
      <c r="O151" s="152"/>
      <c r="Q151"/>
      <c r="R151"/>
      <c r="S151"/>
      <c r="T151"/>
      <c r="U151"/>
      <c r="AB151" s="153"/>
    </row>
    <row r="152" spans="1:184" ht="15" hidden="1" customHeight="1" x14ac:dyDescent="0.35">
      <c r="B152" s="127"/>
      <c r="C152" s="522" t="s">
        <v>588</v>
      </c>
      <c r="D152" s="523"/>
      <c r="E152" s="523"/>
      <c r="F152" s="524"/>
      <c r="G152" s="522" t="s">
        <v>205</v>
      </c>
      <c r="H152" s="523"/>
      <c r="I152" s="523"/>
      <c r="J152" s="524"/>
      <c r="L152" s="522" t="s">
        <v>588</v>
      </c>
      <c r="M152" s="524"/>
      <c r="N152" s="522" t="s">
        <v>205</v>
      </c>
      <c r="O152" s="524"/>
      <c r="Q152"/>
      <c r="R152"/>
      <c r="S152"/>
      <c r="T152"/>
      <c r="U152"/>
      <c r="V152"/>
      <c r="W152"/>
      <c r="X152"/>
      <c r="Y152"/>
      <c r="Z152"/>
      <c r="AA152"/>
      <c r="AB152"/>
      <c r="AC152"/>
      <c r="AD152"/>
      <c r="AE152"/>
    </row>
    <row r="153" spans="1:184" ht="43.5" hidden="1" x14ac:dyDescent="0.35">
      <c r="B153" s="127"/>
      <c r="C153" s="294" t="s">
        <v>586</v>
      </c>
      <c r="D153" s="294" t="s">
        <v>587</v>
      </c>
      <c r="E153" s="294" t="s">
        <v>453</v>
      </c>
      <c r="F153" s="112" t="s">
        <v>468</v>
      </c>
      <c r="G153" s="294" t="s">
        <v>586</v>
      </c>
      <c r="H153" s="294" t="s">
        <v>587</v>
      </c>
      <c r="I153" s="294" t="s">
        <v>453</v>
      </c>
      <c r="J153" s="112" t="s">
        <v>468</v>
      </c>
      <c r="L153" s="297" t="s">
        <v>602</v>
      </c>
      <c r="M153" s="297" t="s">
        <v>603</v>
      </c>
      <c r="N153" s="297" t="s">
        <v>602</v>
      </c>
      <c r="O153" s="297" t="s">
        <v>603</v>
      </c>
      <c r="Q153"/>
      <c r="R153"/>
      <c r="S153"/>
      <c r="T153"/>
      <c r="U153"/>
      <c r="V153"/>
      <c r="W153"/>
      <c r="X153"/>
      <c r="Y153"/>
      <c r="Z153"/>
      <c r="AA153"/>
      <c r="AB153"/>
      <c r="AC153"/>
      <c r="AD153"/>
      <c r="AE153"/>
    </row>
    <row r="154" spans="1:184" ht="28.15" hidden="1" customHeight="1" x14ac:dyDescent="0.35">
      <c r="B154" s="304" t="s">
        <v>591</v>
      </c>
      <c r="C154" s="300">
        <f>SUMIF($D$127:$D$146,$C151,$S$127:$S$146)</f>
        <v>0</v>
      </c>
      <c r="D154" s="300">
        <f>SUMIF($D$127:$D$146,$C151,$T$127:$T$146)</f>
        <v>0</v>
      </c>
      <c r="E154" s="300">
        <f>SUMIF($E$127:$E$146,$E151,$O$127:$O$146)</f>
        <v>0</v>
      </c>
      <c r="F154" s="300">
        <f>SUMIF($E$127:$E$146,$E151,$P$127:$P$146)</f>
        <v>0</v>
      </c>
      <c r="G154" s="300">
        <f>SUMIF($D$127:$D$146,$G151,$AA$127:$AA$146)</f>
        <v>0</v>
      </c>
      <c r="H154" s="300">
        <f>SUMIF($D$127:$D$146,$G151,$AB$127:$AB$146)</f>
        <v>0</v>
      </c>
      <c r="I154" s="300">
        <f>SUMIF($E$127:$E$146,$I151,$W$127:$W$146)</f>
        <v>0</v>
      </c>
      <c r="J154" s="300">
        <f>SUMIF($E$127:$E$146,$I151,$X$127:$X$146)</f>
        <v>0</v>
      </c>
      <c r="L154" s="159">
        <f>IF(ISERROR((SUMIF($D$127:$D$146,$C151,$N$127:$N$146)+SUMIF($D$127:$D$146,$C151,$AB$100:$AB$119)+SUMIF($D$127:$D$146,$C151,$P$127:$P$146))*SUMIF($D$127:$D$146,$C151,$N$127:$N$146)/(SUMIF($D$127:$D$146,$C151,$N$127:$N$146)+SUMIF($D$127:$D$146,$C151,$P$127:$P$146))),0,(SUMIF($D$127:$D$146,$C151,$N$127:$N$146)+SUMIF($D$127:$D$146,$C151,$AB$100:$AB$119)+SUMIF($D$127:$D$146,$C151,$P$127:$P$146))*SUMIF($D$127:$D$146,$C151,$N$127:$N$146)/(SUMIF($D$127:$D$146,$C151,$N$127:$N$146)+SUMIF($D$127:$D$146,$C151,$P$127:$P$146)))</f>
        <v>0</v>
      </c>
      <c r="M154" s="159">
        <f>IF(ISERROR((SUMIF($E$127:$E$146,$E151,$N$127:$N$146)+SUMIF($E$127:$E$146,$E151,$AB$100:$AB$119)+SUMIF($E$127:$E$146,$E151,$P$127:$P$146))*SUMIF($E$127:$E$146,$E151,$P$127:$P$146)/(SUMIF($E$127:$E$146,$E151,$N$127:$N$146)+SUMIF($E$127:$E$146,$E151,$P$127:$P$146))),0,(SUMIF($E$127:$E$146,$E151,$N$127:$N$146)+SUMIF($E$127:$E$146,$E151,$AB$100:$AB$119)+SUMIF($E$127:$E$146,$E151,$P$127:$P$146))*SUMIF($E$127:$E$146,$E151,$P$127:$P$146)/(SUMIF($E$127:$E$146,$E151,$N$127:$N$146)+SUMIF($E$127:$E$146,$E151,$P$127:$P$146)))</f>
        <v>0</v>
      </c>
      <c r="N154" s="159">
        <f>IF(ISERROR((SUMIF($D$127:$D$146,$C151,$V$127:$V$146)+SUMIF($D$127:$D$146,$C151,$AC$100:$AC$119)+SUMIF($D$127:$D$146,$C151,$X$127:$X$146))*SUMIF($D$127:$D$146,$C151,$V$127:$V$146)/(SUMIF($D$127:$D$146,$C151,$V$127:$V$146)+SUMIF($D$127:$D$146,$C151,$X$127:$X$146))),0,(SUMIF($D$127:$D$146,$C151,$V$127:$V$146)+SUMIF($D$127:$D$146,$C151,$AC$100:$AC$119)+SUMIF($D$127:$D$146,$C151,$X$127:$X$146))*SUMIF($D$127:$D$146,$C151,$V$127:$V$146)/(SUMIF($D$127:$D$146,$C151,$V$127:$V$146)+SUMIF($D$127:$D$146,$C151,$X$127:$X$146)))</f>
        <v>0</v>
      </c>
      <c r="O154" s="159">
        <f>IF(ISERROR((SUMIF($E$127:$E$146,$E151,$V$127:$V$146)+SUMIF($E$127:$E$146,$E151,$AC$100:$AC$119)+SUMIF($E$127:$E$146,$E151,$X$127:$X$146))*SUMIF($E$127:$E$146,$E151,$X$127:$X$146)/(SUMIF($E$127:$E$146,$E151,$V$127:$V$146)+SUMIF($E$127:$E$146,$E151,$X$127:$X$146))),0,(SUMIF($E$127:$E$146,$E151,$V$127:$V$146)+SUMIF($E$127:$E$146,$E151,$AC$100:$AC$119)+SUMIF($E$127:$E$146,$E151,$X$127:$X$146))*SUMIF($E$127:$E$146,$E151,$X$127:$X$146)/(SUMIF($E$127:$E$146,$E151,$V$127:$V$146)+SUMIF($E$127:$E$146,$E151,$X$127:$X$146)))</f>
        <v>0</v>
      </c>
      <c r="Q154" s="341"/>
      <c r="R154"/>
      <c r="S154"/>
      <c r="T154"/>
      <c r="U154"/>
      <c r="V154"/>
      <c r="W154"/>
      <c r="X154"/>
      <c r="Y154"/>
      <c r="Z154"/>
      <c r="AA154"/>
      <c r="AB154"/>
      <c r="AC154"/>
      <c r="AD154"/>
      <c r="AE154"/>
    </row>
    <row r="155" spans="1:184" hidden="1" x14ac:dyDescent="0.35">
      <c r="B155" s="127"/>
      <c r="L155"/>
      <c r="M155"/>
      <c r="N155" s="151"/>
      <c r="O155" s="152"/>
      <c r="AB155" s="153"/>
    </row>
    <row r="156" spans="1:184" hidden="1" x14ac:dyDescent="0.35">
      <c r="B156" s="127"/>
      <c r="L156"/>
      <c r="M156"/>
      <c r="N156" s="151"/>
      <c r="O156" s="152"/>
      <c r="AB156" s="153"/>
      <c r="AQ156"/>
      <c r="AR156"/>
      <c r="AS156"/>
      <c r="AT156"/>
      <c r="AU156"/>
      <c r="AV156"/>
      <c r="AW156"/>
      <c r="AX156"/>
      <c r="AY156"/>
      <c r="AZ156"/>
      <c r="BA156"/>
      <c r="BB156"/>
      <c r="BC156"/>
      <c r="BD156"/>
      <c r="BE156"/>
      <c r="BF156"/>
      <c r="BG156"/>
      <c r="BH156"/>
      <c r="BI156"/>
      <c r="BJ156"/>
      <c r="BK156"/>
      <c r="BL156"/>
      <c r="BM156"/>
      <c r="BN156"/>
    </row>
    <row r="157" spans="1:184" hidden="1" x14ac:dyDescent="0.35">
      <c r="B157" s="127"/>
      <c r="N157" s="151"/>
      <c r="O157" s="152"/>
      <c r="P157" s="152"/>
      <c r="AC157" s="153"/>
      <c r="AQ157"/>
      <c r="AR157"/>
      <c r="AS157"/>
      <c r="AT157"/>
      <c r="AU157"/>
      <c r="AV157"/>
      <c r="AW157"/>
      <c r="AX157"/>
      <c r="AY157"/>
      <c r="AZ157"/>
      <c r="BA157"/>
      <c r="BB157"/>
      <c r="BC157"/>
      <c r="BD157"/>
      <c r="BE157"/>
      <c r="BF157"/>
      <c r="BG157"/>
      <c r="BH157"/>
      <c r="BI157"/>
      <c r="BJ157"/>
      <c r="BK157"/>
      <c r="BL157"/>
      <c r="BM157"/>
      <c r="BN157"/>
    </row>
    <row r="158" spans="1:184" ht="15" hidden="1" customHeight="1" x14ac:dyDescent="0.35">
      <c r="B158" s="127" t="s">
        <v>589</v>
      </c>
      <c r="H158" s="531" t="s">
        <v>588</v>
      </c>
      <c r="I158" s="532"/>
      <c r="J158" s="532"/>
      <c r="K158" s="532"/>
      <c r="L158" s="532"/>
      <c r="M158" s="532"/>
      <c r="N158" s="532"/>
      <c r="O158" s="532"/>
      <c r="P158" s="532"/>
      <c r="Q158" s="532"/>
      <c r="R158" s="532"/>
      <c r="S158" s="532"/>
      <c r="T158" s="532"/>
      <c r="U158" s="532"/>
      <c r="V158" s="532"/>
      <c r="W158" s="532"/>
      <c r="X158" s="532"/>
      <c r="Y158" s="532"/>
      <c r="Z158" s="533"/>
      <c r="AA158" s="525" t="s">
        <v>601</v>
      </c>
      <c r="AB158" s="526"/>
      <c r="AC158" s="526"/>
      <c r="AD158" s="526"/>
      <c r="AE158" s="526"/>
      <c r="AF158" s="526"/>
      <c r="AG158" s="526"/>
      <c r="AH158" s="526"/>
      <c r="AI158" s="526"/>
      <c r="AJ158" s="526"/>
      <c r="AK158" s="526"/>
      <c r="AL158" s="526"/>
      <c r="AM158" s="526"/>
      <c r="AN158" s="526"/>
      <c r="AO158" s="526"/>
      <c r="AP158" s="526"/>
      <c r="AQ158" s="527"/>
      <c r="AR158"/>
      <c r="AS158"/>
      <c r="AT158"/>
      <c r="AU158"/>
      <c r="AV158"/>
      <c r="AW158"/>
      <c r="AX158"/>
      <c r="AY158"/>
      <c r="AZ158"/>
      <c r="BA158"/>
      <c r="BB158"/>
      <c r="BC158"/>
      <c r="BD158"/>
      <c r="BE158"/>
      <c r="BF158"/>
      <c r="BG158"/>
      <c r="BH158"/>
      <c r="BI158"/>
      <c r="BJ158"/>
      <c r="BK158"/>
      <c r="BL158"/>
      <c r="BM158"/>
    </row>
    <row r="159" spans="1:184" ht="14.5" hidden="1" customHeight="1" x14ac:dyDescent="0.35">
      <c r="B159" s="127"/>
      <c r="H159" s="522" t="s">
        <v>590</v>
      </c>
      <c r="I159" s="524"/>
      <c r="J159" s="522" t="s">
        <v>596</v>
      </c>
      <c r="K159" s="524"/>
      <c r="L159" s="554" t="s">
        <v>597</v>
      </c>
      <c r="M159" s="555"/>
      <c r="N159" s="555"/>
      <c r="O159" s="555"/>
      <c r="P159" s="555"/>
      <c r="Q159" s="556"/>
      <c r="R159" s="547" t="s">
        <v>594</v>
      </c>
      <c r="S159" s="525" t="s">
        <v>436</v>
      </c>
      <c r="T159" s="526"/>
      <c r="U159" s="526"/>
      <c r="V159" s="526"/>
      <c r="W159" s="526"/>
      <c r="X159" s="526"/>
      <c r="Y159" s="526"/>
      <c r="Z159" s="527"/>
      <c r="AA159" s="522" t="s">
        <v>596</v>
      </c>
      <c r="AB159" s="524"/>
      <c r="AC159" s="554" t="s">
        <v>597</v>
      </c>
      <c r="AD159" s="555"/>
      <c r="AE159" s="555"/>
      <c r="AF159" s="555"/>
      <c r="AG159" s="555"/>
      <c r="AH159" s="556"/>
      <c r="AI159" s="547" t="s">
        <v>594</v>
      </c>
      <c r="AJ159" s="525" t="s">
        <v>436</v>
      </c>
      <c r="AK159" s="526"/>
      <c r="AL159" s="526"/>
      <c r="AM159" s="526"/>
      <c r="AN159" s="526"/>
      <c r="AO159" s="526"/>
      <c r="AP159" s="526"/>
      <c r="AQ159" s="527"/>
      <c r="AR159"/>
      <c r="AS159"/>
      <c r="AT159"/>
      <c r="AU159"/>
      <c r="AV159"/>
      <c r="AW159"/>
      <c r="AX159"/>
      <c r="AY159"/>
      <c r="AZ159"/>
      <c r="BA159"/>
      <c r="BB159"/>
      <c r="BC159"/>
      <c r="BD159"/>
      <c r="BE159"/>
      <c r="BF159"/>
      <c r="BG159"/>
      <c r="BH159"/>
      <c r="BI159"/>
      <c r="BJ159"/>
      <c r="BK159"/>
      <c r="BL159"/>
      <c r="BM159"/>
      <c r="BN159"/>
      <c r="BO159"/>
    </row>
    <row r="160" spans="1:184" ht="144" hidden="1" customHeight="1" x14ac:dyDescent="0.35">
      <c r="B160" s="112" t="s">
        <v>396</v>
      </c>
      <c r="C160" s="112" t="s">
        <v>540</v>
      </c>
      <c r="D160" s="112" t="s">
        <v>579</v>
      </c>
      <c r="E160" s="112" t="s">
        <v>578</v>
      </c>
      <c r="F160" s="112" t="s">
        <v>393</v>
      </c>
      <c r="G160" s="112" t="s">
        <v>394</v>
      </c>
      <c r="H160" s="112" t="s">
        <v>288</v>
      </c>
      <c r="I160" s="112" t="s">
        <v>290</v>
      </c>
      <c r="J160" s="112" t="s">
        <v>463</v>
      </c>
      <c r="K160" s="112" t="s">
        <v>595</v>
      </c>
      <c r="L160" s="112" t="s">
        <v>593</v>
      </c>
      <c r="M160" s="112" t="s">
        <v>592</v>
      </c>
      <c r="N160" s="297" t="s">
        <v>545</v>
      </c>
      <c r="O160" s="298" t="s">
        <v>598</v>
      </c>
      <c r="P160" s="297" t="s">
        <v>600</v>
      </c>
      <c r="Q160" s="297" t="s">
        <v>599</v>
      </c>
      <c r="R160" s="548"/>
      <c r="S160" s="112" t="s">
        <v>454</v>
      </c>
      <c r="T160" s="112" t="s">
        <v>455</v>
      </c>
      <c r="U160" s="112" t="s">
        <v>653</v>
      </c>
      <c r="V160" s="112" t="s">
        <v>474</v>
      </c>
      <c r="W160" s="112" t="s">
        <v>456</v>
      </c>
      <c r="X160" s="112" t="s">
        <v>457</v>
      </c>
      <c r="Y160" s="112" t="s">
        <v>654</v>
      </c>
      <c r="Z160" s="112" t="s">
        <v>475</v>
      </c>
      <c r="AA160" s="112" t="s">
        <v>463</v>
      </c>
      <c r="AB160" s="112" t="s">
        <v>595</v>
      </c>
      <c r="AC160" s="112" t="s">
        <v>593</v>
      </c>
      <c r="AD160" s="112" t="s">
        <v>592</v>
      </c>
      <c r="AE160" s="297" t="s">
        <v>545</v>
      </c>
      <c r="AF160" s="298" t="s">
        <v>598</v>
      </c>
      <c r="AG160" s="297" t="s">
        <v>600</v>
      </c>
      <c r="AH160" s="297" t="s">
        <v>599</v>
      </c>
      <c r="AI160" s="548"/>
      <c r="AJ160" s="112" t="s">
        <v>454</v>
      </c>
      <c r="AK160" s="112" t="s">
        <v>455</v>
      </c>
      <c r="AL160" s="112" t="s">
        <v>653</v>
      </c>
      <c r="AM160" s="112" t="s">
        <v>474</v>
      </c>
      <c r="AN160" s="112" t="s">
        <v>456</v>
      </c>
      <c r="AO160" s="112" t="s">
        <v>457</v>
      </c>
      <c r="AP160" s="112" t="s">
        <v>654</v>
      </c>
      <c r="AQ160" s="112" t="s">
        <v>475</v>
      </c>
      <c r="AT160"/>
      <c r="AU160"/>
      <c r="AV160"/>
      <c r="AW160"/>
      <c r="AX160"/>
      <c r="AY160"/>
      <c r="AZ160"/>
      <c r="BA160"/>
      <c r="BB160"/>
      <c r="BC160"/>
      <c r="BD160"/>
      <c r="BE160"/>
      <c r="BF160"/>
      <c r="BG160"/>
      <c r="BH160"/>
      <c r="BI160"/>
      <c r="BJ160"/>
      <c r="BK160"/>
      <c r="BL160"/>
      <c r="BM160"/>
      <c r="BN160"/>
      <c r="BO160"/>
      <c r="BP160"/>
      <c r="BQ160"/>
    </row>
    <row r="161" spans="1:69" hidden="1" x14ac:dyDescent="0.35">
      <c r="A161" s="130">
        <v>1</v>
      </c>
      <c r="B161" s="131" t="str">
        <f>IF(Exploitation!B80="","non_renseigné",Exploitation!B80)</f>
        <v>non_renseigné</v>
      </c>
      <c r="C161" s="131" t="str">
        <f>IF(Exploitation!C80="","",Exploitation!C80)</f>
        <v/>
      </c>
      <c r="D161" s="131">
        <f>IF(Exploitation!D80="",0,Exploitation!D80)</f>
        <v>0</v>
      </c>
      <c r="E161" s="131">
        <f>IF(Exploitation!E80="",0,Exploitation!E80)</f>
        <v>0</v>
      </c>
      <c r="F161" s="131" t="str">
        <f>IF(Exploitation!F80="","",Exploitation!F80)</f>
        <v/>
      </c>
      <c r="G161" s="131" t="str">
        <f>IF(Exploitation!G80="","",Exploitation!G80)</f>
        <v/>
      </c>
      <c r="H161" s="131" t="str">
        <f>IF(Exploitation!H80="","",Exploitation!H80)</f>
        <v/>
      </c>
      <c r="I161" s="131" t="str">
        <f>IF(Exploitation!I80="","",Exploitation!I80)</f>
        <v/>
      </c>
      <c r="J161" s="117">
        <f>IF(ISERROR(SUMIF($D$127:$D$146,B161,$S$127:$S$146)+IF(E161&lt;&gt;0,E161*$C$154,0)),0,SUMIF($D$127:$D$146,B161,$S$127:$S$146)+IF(E161&lt;&gt;0,E161*$C$154,0))</f>
        <v>0</v>
      </c>
      <c r="K161" s="117">
        <f>IF(ISERROR(SUMIF($D$127:$D$146,B161,$T$127:$T$146)+IF(E161&lt;&gt;0,E161*$D$154,0)),0,SUMIF($D$127:$D$146,B161,$T$127:$T$146)+IF(E161&lt;&gt;0,E161*$D$154,0))</f>
        <v>0</v>
      </c>
      <c r="L161" s="117">
        <f>IF(ISERROR(SUMIF($E$127:$E$146,B161,$O$127:$O$146)+IF(D161&lt;&gt;0,D161*$E$154,0)),0,SUMIF($E$127:$E$146,B161,$O$127:$O$146)+IF(D161&lt;&gt;0,D161*$E$154,0))</f>
        <v>0</v>
      </c>
      <c r="M161" s="117">
        <f>IF(ISERROR(SUMIF($E$127:$E$146,B161,$P$127:$P$146)+IF(D161&lt;&gt;0,D161*$F$154,0)),0,SUMIF($E$127:$E$146,B161,$P$127:$P$146)+IF(D161&lt;&gt;0,D161*$F$154,0))</f>
        <v>0</v>
      </c>
      <c r="N161" s="117">
        <f>IF(ISERROR(VLOOKUP(F161,'Données d''entrée'!$B$378:$E$385,4,FALSE)*M161*$I$127*'Données d''entrée'!$C$403),0,VLOOKUP(F161,'Données d''entrée'!$B$378:$E$385,4,FALSE)*M161*$I$127*'Données d''entrée'!$C$403)</f>
        <v>0</v>
      </c>
      <c r="O161" s="117">
        <f>IF(ISERROR(VLOOKUP(F161,'Données d''entrée'!$B$378:$E$385,4,FALSE)*M161*$I$127*$J$127),0,VLOOKUP(F161,'Données d''entrée'!$B$378:$E$385,4,FALSE)*M161*$I$127*$J$127)</f>
        <v>0</v>
      </c>
      <c r="P161" s="307">
        <f>IF($F161='Données d''entrée'!$B$382,L161*'Données d''entrée'!$F$382,0)</f>
        <v>0</v>
      </c>
      <c r="Q161" s="117">
        <f>IF($F161='Données d''entrée'!$B$382,L161*'Données d''entrée'!$G$382,L161-N161)</f>
        <v>0</v>
      </c>
      <c r="R161" s="117">
        <f>IF(ISERROR(Q161*VLOOKUP($F161,'Données d''entrée'!$B$378:$G$385,3,FALSE)),0,Q161*VLOOKUP($F161,'Données d''entrée'!$B$378:$G$385,3,FALSE))</f>
        <v>0</v>
      </c>
      <c r="S161" s="117">
        <f>IF(ISERROR(J161*VLOOKUP($F161,'Données d''entrée'!$B$378:$G$385,5,FALSE)),0,J161*VLOOKUP($F161,'Données d''entrée'!$B$378:$G$385,5,FALSE))</f>
        <v>0</v>
      </c>
      <c r="T161" s="117">
        <f>IF(ISERROR(J161*VLOOKUP($F161,'Données d''entrée'!$B$378:$G$385,6,FALSE)),0,J161*VLOOKUP($F161,'Données d''entrée'!$B$378:$G$385,6,FALSE))</f>
        <v>0</v>
      </c>
      <c r="U161" s="117">
        <f>IF(ISERROR(K161*(1-VLOOKUP(F161,'Données d''entrée'!$B$378:$H$385,7,FALSE))),0,K161*(1-VLOOKUP(F161,'Données d''entrée'!$B$378:$H$385,7,FALSE)))</f>
        <v>0</v>
      </c>
      <c r="V161" s="117">
        <f>IF(ISERROR(K161*VLOOKUP(F161,'Données d''entrée'!$B$378:$H$385,7,FALSE)),0,K161*VLOOKUP(F161,'Données d''entrée'!$B$378:$H$385,7,FALSE))</f>
        <v>0</v>
      </c>
      <c r="W161" s="117">
        <f>IF(ISERROR(IF($F161='Données d''entrée'!$B$382,P161,(Q161-R161)*VLOOKUP($F161,'Données d''entrée'!$B$378:$G$385,5,FALSE))),0,IF($F161='Données d''entrée'!$B$382,P161,(Q161-R161)*VLOOKUP($F161,'Données d''entrée'!$B$378:$G$385,5,FALSE)))</f>
        <v>0</v>
      </c>
      <c r="X161" s="117">
        <f>IF(ISERROR(IF($F161='Données d''entrée'!$B$382,(Q161-R161),(Q161-R161)*VLOOKUP($F161,'Données d''entrée'!$B$378:$G$385,6,FALSE))),0,IF($F161='Données d''entrée'!$B$382,(Q161-R161),(Q161-R161)*VLOOKUP($F161,'Données d''entrée'!$B$378:$G$385,6,FALSE)))</f>
        <v>0</v>
      </c>
      <c r="Y161" s="117">
        <f>IF(ISERROR(IF($F161='Données d''entrée'!$B$382,(M161-P161-Q161)*'Données d''entrée'!$H$381+P161,(M161+O161-R161)*(1-VLOOKUP($F161,'Données d''entrée'!$B$378:$H$385,7,FALSE)))),0,IF($F161='Données d''entrée'!$B$382,(M161-P161-Q161)*'Données d''entrée'!$H$381+P161,(M161+O161-R161)*(1-VLOOKUP($F161,'Données d''entrée'!$B$378:$H$385,7,FALSE))))</f>
        <v>0</v>
      </c>
      <c r="Z161" s="117">
        <f>IF(ISERROR(IF($F161='Données d''entrée'!$B$382,(M161-P161-Q161)*'Données d''entrée'!$H$381+Q161-R161,(M161+O161-R161)*VLOOKUP($F161,'Données d''entrée'!$B$378:$H$385,7,FALSE))),0,IF($F161='Données d''entrée'!$B$382,(M161-P161-Q161)*'Données d''entrée'!$H$381+Q161-R161,(M161+O161-R161)*VLOOKUP($F161,'Données d''entrée'!$B$378:$H$385,7,FALSE)))</f>
        <v>0</v>
      </c>
      <c r="AA161" s="117">
        <f>IF(ISERROR(SUMIF($D$127:$D$146,B161,$AA$127:$AA$146)+IF(E161&lt;&gt;0,E161*$G$154,0)),0,SUMIF($D$127:$D$146,B161,$AA$127:$AA$146)+IF(E161&lt;&gt;0,E161*$G$154,0))</f>
        <v>0</v>
      </c>
      <c r="AB161" s="117">
        <f>IF(ISERROR(SUMIF($D$127:$D$146,B161,$AB$127:$AB$146)+IF(E161&lt;&gt;0,E161*$H$154,0)),0,SUMIF($D$127:$D$146,B161,$AB$127:$AB$146)+IF(E161&lt;&gt;0,E161*$H$154,0))</f>
        <v>0</v>
      </c>
      <c r="AC161" s="117">
        <f>IF(ISERROR(SUMIF($E$127:$E$146,B161,$W$127:$W$146)+IF(D161&lt;&gt;0,D161*$I$154,0)),0,SUMIF($E$127:$E$146,B161,$W$127:$W$146)+IF(D161&lt;&gt;0,D161*$I$154,0))</f>
        <v>0</v>
      </c>
      <c r="AD161" s="117">
        <f>IF(ISERROR(SUMIF($E$127:$E$146,B161,$X$127:$X$146)+IF(D161&lt;&gt;0,D161*$J$154,0)),0,SUMIF($E$127:$E$146,B161,$X$127:$X$146)+IF(D161&lt;&gt;0,D161*$J$154,0))</f>
        <v>0</v>
      </c>
      <c r="AE161" s="117">
        <f>IF(ISERROR(VLOOKUP(F161,'Données d''entrée'!$B$378:$E$385,4,FALSE)*AD161*$I$127*'Données d''entrée'!$C$403),0,VLOOKUP(F161,'Données d''entrée'!$B$378:$E$385,4,FALSE)*AD161*$I$127*'Données d''entrée'!$C$403)</f>
        <v>0</v>
      </c>
      <c r="AF161" s="117">
        <f>IF(ISERROR(VLOOKUP(F161,'Données d''entrée'!$B$378:$E$385,4,FALSE)*AD161*$I$127*$J$127),0,VLOOKUP(F161,'Données d''entrée'!$B$378:$E$385,4,FALSE)*AD161*$I$127*$J$127)</f>
        <v>0</v>
      </c>
      <c r="AG161" s="117">
        <f>IF($F161='Données d''entrée'!$B$382,AC161*'Données d''entrée'!$F$382,0)</f>
        <v>0</v>
      </c>
      <c r="AH161" s="117">
        <f>IF($F161='Données d''entrée'!$B$382,AC161*'Données d''entrée'!$G$382,AC161-AE161)</f>
        <v>0</v>
      </c>
      <c r="AI161" s="117">
        <f>IF(ISERROR(AH161*VLOOKUP($F161,'Données d''entrée'!$B$378:$G$385,3,FALSE)),0,AH161*VLOOKUP($F161,'Données d''entrée'!$B$378:$G$385,3,FALSE))</f>
        <v>0</v>
      </c>
      <c r="AJ161" s="117">
        <f>IF(ISERROR(AA161*VLOOKUP($F161,'Données d''entrée'!$B$378:$G$385,5,FALSE)),0,AA161*VLOOKUP($F161,'Données d''entrée'!$B$378:$G$385,5,FALSE))</f>
        <v>0</v>
      </c>
      <c r="AK161" s="117">
        <f>IF(ISERROR(AA161*VLOOKUP($F161,'Données d''entrée'!$B$378:$G$385,6,FALSE)),0,AA161*VLOOKUP($F161,'Données d''entrée'!$B$378:$G$385,6,FALSE))</f>
        <v>0</v>
      </c>
      <c r="AL161" s="117">
        <f>IF(ISERROR(AB161*(1-VLOOKUP(F161,'Données d''entrée'!$B$378:$H$385,7,FALSE))),0,AB161*(1-VLOOKUP(F161,'Données d''entrée'!$B$378:$H$385,7,FALSE)))</f>
        <v>0</v>
      </c>
      <c r="AM161" s="117">
        <f>IF(ISERROR(AB161*VLOOKUP(F161,'Données d''entrée'!$B$378:$H$385,7,FALSE)),0,AB161*VLOOKUP(F161,'Données d''entrée'!$B$378:$H$385,7,FALSE))</f>
        <v>0</v>
      </c>
      <c r="AN161" s="117">
        <f>IF(ISERROR(IF($F161='Données d''entrée'!$B$382,AG161,(AH161-AI161)*VLOOKUP($F161,'Données d''entrée'!$B$378:$G$385,5,FALSE))),0,IF($F161='Données d''entrée'!$B$382,AG161,(AH161-AI161)*VLOOKUP($F161,'Données d''entrée'!$B$378:$G$385,5,FALSE)))</f>
        <v>0</v>
      </c>
      <c r="AO161" s="117">
        <f>IF(ISERROR(IF($F161='Données d''entrée'!$B$382,(AH161-AI161),(AH161-AI161)*VLOOKUP($F161,'Données d''entrée'!$B$378:$G$385,6,FALSE))),0,IF($F161='Données d''entrée'!$B$382,(AH161-AI161),(AH161-AI161)*VLOOKUP($F161,'Données d''entrée'!$B$378:$G$385,6,FALSE)))</f>
        <v>0</v>
      </c>
      <c r="AP161" s="117">
        <f>IF(ISERROR(IF($F161='Données d''entrée'!$B$382,(AD161-AG161-AH161)*'Données d''entrée'!$H$381+AG161,(AD161+AF161-AI161)*(1-VLOOKUP($F161,'Données d''entrée'!$B$378:$G$385,6,FALSE)))),0,IF($F161='Données d''entrée'!$B$382,(AD161-AG161-AH161)*'Données d''entrée'!$H$381+AG161,(AD161+AF161-AI161)*(1-VLOOKUP($F161,'Données d''entrée'!$B$378:$G$385,6,FALSE))))</f>
        <v>0</v>
      </c>
      <c r="AQ161" s="117">
        <f>IF(ISERROR(IF($F161='Données d''entrée'!$B$382,(AD161-AG161-AH161)*'Données d''entrée'!$H$381+AH161-AI161,(AD161+AF161-AI161)*VLOOKUP($F161,'Données d''entrée'!$B$378:$G$385,6,FALSE))),0,IF($F161='Données d''entrée'!$B$382,(AD161-AG161-AH161)*'Données d''entrée'!$H$381+AH161-AI161,(AD161+AF161-AI161)*VLOOKUP($F161,'Données d''entrée'!$B$378:$G$385,6,FALSE)))</f>
        <v>0</v>
      </c>
      <c r="AR161" s="153"/>
      <c r="AT161"/>
      <c r="AU161"/>
      <c r="AV161"/>
      <c r="AW161"/>
      <c r="AX161"/>
      <c r="AY161"/>
      <c r="AZ161"/>
      <c r="BA161"/>
      <c r="BB161"/>
      <c r="BC161"/>
      <c r="BD161"/>
      <c r="BE161"/>
      <c r="BF161"/>
      <c r="BG161"/>
      <c r="BH161"/>
      <c r="BI161"/>
      <c r="BJ161"/>
      <c r="BK161"/>
      <c r="BL161"/>
      <c r="BM161"/>
      <c r="BN161"/>
      <c r="BO161"/>
      <c r="BP161"/>
      <c r="BQ161"/>
    </row>
    <row r="162" spans="1:69" hidden="1" x14ac:dyDescent="0.35">
      <c r="A162" s="130">
        <v>2</v>
      </c>
      <c r="B162" s="131" t="str">
        <f>IF(Exploitation!B81="","non_renseigné",Exploitation!B81)</f>
        <v>non_renseigné</v>
      </c>
      <c r="C162" s="131" t="str">
        <f>IF(Exploitation!C81="","",Exploitation!C81)</f>
        <v/>
      </c>
      <c r="D162" s="131">
        <f>IF(Exploitation!D81="",0,Exploitation!D81)</f>
        <v>0</v>
      </c>
      <c r="E162" s="131">
        <f>IF(Exploitation!E81="",0,Exploitation!E81)</f>
        <v>0</v>
      </c>
      <c r="F162" s="156" t="str">
        <f>IF(Exploitation!F81="","",Exploitation!F81)</f>
        <v/>
      </c>
      <c r="G162" s="131" t="str">
        <f>IF(Exploitation!G81="","",Exploitation!G81)</f>
        <v/>
      </c>
      <c r="H162" s="131" t="str">
        <f>IF(Exploitation!H81="","",Exploitation!H81)</f>
        <v/>
      </c>
      <c r="I162" s="131" t="str">
        <f>IF(Exploitation!I81="","",Exploitation!I81)</f>
        <v/>
      </c>
      <c r="J162" s="117">
        <f>IF(ISERROR(SUMIF($D$127:$D$146,B162,$S$127:$S$146)+IF(E162&lt;&gt;0,E162*$C$154,0)),0,SUMIF($D$127:$D$146,B162,$S$127:$S$146)+IF(E162&lt;&gt;0,E162*$C$154,0))</f>
        <v>0</v>
      </c>
      <c r="K162" s="117">
        <f t="shared" ref="K162:K165" si="109">IF(ISERROR(SUMIF($D$127:$D$146,B162,$T$127:$T$146)+IF(E162&lt;&gt;0,E162*$D$154,0)),0,SUMIF($D$127:$D$146,B162,$T$127:$T$146)+IF(E162&lt;&gt;0,E162*$D$154,0))</f>
        <v>0</v>
      </c>
      <c r="L162" s="117">
        <f>IF(ISERROR(SUMIF($E$127:$E$146,B162,$O$127:$O$146)+IF(D162&lt;&gt;0,D162*$E$154,0)),0,SUMIF($E$127:$E$146,B162,$O$127:$O$146)+IF(D162&lt;&gt;0,D162*$E$154,0))</f>
        <v>0</v>
      </c>
      <c r="M162" s="117">
        <f t="shared" ref="M162:M165" si="110">IF(ISERROR(SUMIF($E$127:$E$146,B162,$P$127:$P$146)+IF(D162&lt;&gt;0,D162*$F$154,0)),0,SUMIF($E$127:$E$146,B162,$P$127:$P$146)+IF(D162&lt;&gt;0,D162*$F$154,0))</f>
        <v>0</v>
      </c>
      <c r="N162" s="117">
        <f>IF(ISERROR(VLOOKUP(F162,'Données d''entrée'!$B$378:$E$385,4,FALSE)*M162*$I$127*'Données d''entrée'!$C$403),0,VLOOKUP(F162,'Données d''entrée'!$B$378:$E$385,4,FALSE)*M162*$I$127*'Données d''entrée'!$C$403)</f>
        <v>0</v>
      </c>
      <c r="O162" s="117">
        <f>IF(ISERROR(VLOOKUP(F162,'Données d''entrée'!$B$378:$E$385,4,FALSE)*M162*$I$127*$J$127),0,VLOOKUP(F162,'Données d''entrée'!$B$378:$E$385,4,FALSE)*M162*$I$127*$J$127)</f>
        <v>0</v>
      </c>
      <c r="P162" s="307">
        <f>IF($F162='Données d''entrée'!$B$382,L162*'Données d''entrée'!$F$382,0)</f>
        <v>0</v>
      </c>
      <c r="Q162" s="117">
        <f>IF($F162='Données d''entrée'!$B$382,L162*'Données d''entrée'!$G$382,L162-N162)</f>
        <v>0</v>
      </c>
      <c r="R162" s="117">
        <f>IF(ISERROR(Q162*VLOOKUP($F162,'Données d''entrée'!$B$378:$G$385,3,FALSE)),0,Q162*VLOOKUP($F162,'Données d''entrée'!$B$378:$G$385,3,FALSE))</f>
        <v>0</v>
      </c>
      <c r="S162" s="117">
        <f>IF(ISERROR(J162*VLOOKUP($F162,'Données d''entrée'!$B$378:$G$385,5,FALSE)),0,J162*VLOOKUP($F162,'Données d''entrée'!$B$378:$G$385,5,FALSE))</f>
        <v>0</v>
      </c>
      <c r="T162" s="117">
        <f>IF(ISERROR(J162*VLOOKUP($F162,'Données d''entrée'!$B$378:$G$385,6,FALSE)),0,J162*VLOOKUP($F162,'Données d''entrée'!$B$378:$G$385,6,FALSE))</f>
        <v>0</v>
      </c>
      <c r="U162" s="117">
        <f>IF(ISERROR(K162*(1-VLOOKUP(F162,'Données d''entrée'!$B$378:$H$385,7,FALSE))),0,K162*(1-VLOOKUP(F162,'Données d''entrée'!$B$378:$H$385,7,FALSE)))</f>
        <v>0</v>
      </c>
      <c r="V162" s="117">
        <f>IF(ISERROR(K162*VLOOKUP(F162,'Données d''entrée'!$B$378:$H$385,7,FALSE)),0,K162*VLOOKUP(F162,'Données d''entrée'!$B$378:$H$385,7,FALSE))</f>
        <v>0</v>
      </c>
      <c r="W162" s="117">
        <f>IF(ISERROR(IF($F162='Données d''entrée'!$B$382,P162,(Q162-R162)*VLOOKUP($F162,'Données d''entrée'!$B$378:$G$385,5,FALSE))),0,IF($F162='Données d''entrée'!$B$382,P162,(Q162-R162)*VLOOKUP($F162,'Données d''entrée'!$B$378:$G$385,5,FALSE)))</f>
        <v>0</v>
      </c>
      <c r="X162" s="117">
        <f>IF(ISERROR(IF($F162='Données d''entrée'!$B$382,(Q162-R162),(Q162-R162)*VLOOKUP($F162,'Données d''entrée'!$B$378:$G$385,6,FALSE))),0,IF($F162='Données d''entrée'!$B$382,(Q162-R162),(Q162-R162)*VLOOKUP($F162,'Données d''entrée'!$B$378:$G$385,6,FALSE)))</f>
        <v>0</v>
      </c>
      <c r="Y162" s="117">
        <f>IF(ISERROR(IF($F162='Données d''entrée'!$B$382,(M162-P162-Q162)*'Données d''entrée'!$H$381+P162,(M162+O162-R162)*(1-VLOOKUP($F162,'Données d''entrée'!$B$378:$H$385,7,FALSE)))),0,IF($F162='Données d''entrée'!$B$382,(M162-P162-Q162)*'Données d''entrée'!$H$381+P162,(M162+O162-R162)*(1-VLOOKUP($F162,'Données d''entrée'!$B$378:$H$385,7,FALSE))))</f>
        <v>0</v>
      </c>
      <c r="Z162" s="117">
        <f>IF(ISERROR(IF($F162='Données d''entrée'!$B$382,(M162-P162-Q162)*'Données d''entrée'!$H$381+Q162-R162,(M162+O162-R162)*VLOOKUP($F162,'Données d''entrée'!$B$378:$H$385,7,FALSE))),0,IF($F162='Données d''entrée'!$B$382,(M162-P162-Q162)*'Données d''entrée'!$H$381+Q162-R162,(M162+O162-R162)*VLOOKUP($F162,'Données d''entrée'!$B$378:$H$385,7,FALSE)))</f>
        <v>0</v>
      </c>
      <c r="AA162" s="117">
        <f t="shared" ref="AA162:AA165" si="111">IF(ISERROR(SUMIF($D$127:$D$146,B162,$AA$127:$AA$146)+IF(E162&lt;&gt;0,E162*$G$154,0)),0,SUMIF($D$127:$D$146,B162,$AA$127:$AA$146)+IF(E162&lt;&gt;0,E162*$G$154,0))</f>
        <v>0</v>
      </c>
      <c r="AB162" s="117">
        <f t="shared" ref="AB162:AB165" si="112">IF(ISERROR(SUMIF($D$127:$D$146,B162,$AB$127:$AB$146)+IF(E162&lt;&gt;0,E162*$H$154,0)),0,SUMIF($D$127:$D$146,B162,$AB$127:$AB$146)+IF(E162&lt;&gt;0,E162*$H$154,0))</f>
        <v>0</v>
      </c>
      <c r="AC162" s="117">
        <f t="shared" ref="AC162:AC165" si="113">IF(ISERROR(SUMIF($E$127:$E$146,B162,$W$127:$W$146)+IF(D162&lt;&gt;0,D162*$I$154,0)),0,SUMIF($E$127:$E$146,B162,$W$127:$W$146)+IF(D162&lt;&gt;0,D162*$I$154,0))</f>
        <v>0</v>
      </c>
      <c r="AD162" s="117">
        <f t="shared" ref="AD162:AD165" si="114">IF(ISERROR(SUMIF($E$127:$E$146,B162,$X$127:$X$146)+IF(D162&lt;&gt;0,D162*$J$154,0)),0,SUMIF($E$127:$E$146,B162,$X$127:$X$146)+IF(D162&lt;&gt;0,D162*$J$154,0))</f>
        <v>0</v>
      </c>
      <c r="AE162" s="117">
        <f>IF(ISERROR(VLOOKUP(F162,'Données d''entrée'!$B$378:$E$385,4,FALSE)*AD162*$I$127*'Données d''entrée'!$C$403),0,VLOOKUP(F162,'Données d''entrée'!$B$378:$E$385,4,FALSE)*AD162*$I$127*'Données d''entrée'!$C$403)</f>
        <v>0</v>
      </c>
      <c r="AF162" s="117">
        <f>IF(ISERROR(VLOOKUP(F162,'Données d''entrée'!$B$378:$E$385,4,FALSE)*AD162*$I$127*$J$127),0,VLOOKUP(F162,'Données d''entrée'!$B$378:$E$385,4,FALSE)*AD162*$I$127*$J$127)</f>
        <v>0</v>
      </c>
      <c r="AG162" s="117">
        <f>IF($F162='Données d''entrée'!$B$382,AC162*'Données d''entrée'!$F$382,0)</f>
        <v>0</v>
      </c>
      <c r="AH162" s="117">
        <f>IF($F162='Données d''entrée'!$B$382,AC162*'Données d''entrée'!$G$382,AC162-AE162)</f>
        <v>0</v>
      </c>
      <c r="AI162" s="117">
        <f>IF(ISERROR(AH162*VLOOKUP($F162,'Données d''entrée'!$B$378:$G$385,3,FALSE)),0,AH162*VLOOKUP($F162,'Données d''entrée'!$B$378:$G$385,3,FALSE))</f>
        <v>0</v>
      </c>
      <c r="AJ162" s="117">
        <f>IF(ISERROR(AA162*VLOOKUP($F162,'Données d''entrée'!$B$378:$G$385,5,FALSE)),0,AA162*VLOOKUP($F162,'Données d''entrée'!$B$378:$G$385,5,FALSE))</f>
        <v>0</v>
      </c>
      <c r="AK162" s="117">
        <f>IF(ISERROR(AA162*VLOOKUP($F162,'Données d''entrée'!$B$378:$G$385,6,FALSE)),0,AA162*VLOOKUP($F162,'Données d''entrée'!$B$378:$G$385,6,FALSE))</f>
        <v>0</v>
      </c>
      <c r="AL162" s="117">
        <f>IF(ISERROR(AB162*(1-VLOOKUP(F162,'Données d''entrée'!$B$378:$H$385,7,FALSE))),0,AB162*(1-VLOOKUP(F162,'Données d''entrée'!$B$378:$H$385,7,FALSE)))</f>
        <v>0</v>
      </c>
      <c r="AM162" s="117">
        <f>IF(ISERROR(AB162*VLOOKUP(F162,'Données d''entrée'!$B$378:$H$385,7,FALSE)),0,AB162*VLOOKUP(F162,'Données d''entrée'!$B$378:$H$385,7,FALSE))</f>
        <v>0</v>
      </c>
      <c r="AN162" s="117">
        <f>IF(ISERROR(IF($F162='Données d''entrée'!$B$382,AG162,(AH162-AI162)*VLOOKUP($F162,'Données d''entrée'!$B$378:$G$385,5,FALSE))),0,IF($F162='Données d''entrée'!$B$382,AG162,(AH162-AI162)*VLOOKUP($F162,'Données d''entrée'!$B$378:$G$385,5,FALSE)))</f>
        <v>0</v>
      </c>
      <c r="AO162" s="117">
        <f>IF(ISERROR(IF($F162='Données d''entrée'!$B$382,(AH162-AI162),(AH162-AI162)*VLOOKUP($F162,'Données d''entrée'!$B$378:$G$385,6,FALSE))),0,IF($F162='Données d''entrée'!$B$382,(AH162-AI162),(AH162-AI162)*VLOOKUP($F162,'Données d''entrée'!$B$378:$G$385,6,FALSE)))</f>
        <v>0</v>
      </c>
      <c r="AP162" s="117">
        <f>IF(ISERROR(IF($F162='Données d''entrée'!$B$382,(AD162-AG162-AH162)*'Données d''entrée'!$H$381+AG162,(AD162+AF162-AI162)*(1-VLOOKUP($F162,'Données d''entrée'!$B$378:$G$385,6,FALSE)))),0,IF($F162='Données d''entrée'!$B$382,(AD162-AG162-AH162)*'Données d''entrée'!$H$381+AG162,(AD162+AF162-AI162)*(1-VLOOKUP($F162,'Données d''entrée'!$B$378:$G$385,6,FALSE))))</f>
        <v>0</v>
      </c>
      <c r="AQ162" s="117">
        <f>IF(ISERROR(IF($F162='Données d''entrée'!$B$382,(AD162-AG162-AH162)*'Données d''entrée'!$H$381+AH162-AI162,(AD162+AF162-AI162)*VLOOKUP($F162,'Données d''entrée'!$B$378:$G$385,6,FALSE))),0,IF($F162='Données d''entrée'!$B$382,(AD162-AG162-AH162)*'Données d''entrée'!$H$381+AH162-AI162,(AD162+AF162-AI162)*VLOOKUP($F162,'Données d''entrée'!$B$378:$G$385,6,FALSE)))</f>
        <v>0</v>
      </c>
      <c r="AT162"/>
      <c r="AU162"/>
      <c r="AV162"/>
      <c r="AW162"/>
      <c r="AX162"/>
      <c r="AY162"/>
      <c r="AZ162"/>
      <c r="BA162"/>
      <c r="BB162"/>
      <c r="BC162"/>
      <c r="BD162"/>
      <c r="BE162"/>
      <c r="BF162"/>
      <c r="BG162"/>
      <c r="BH162"/>
      <c r="BI162"/>
      <c r="BJ162"/>
      <c r="BK162"/>
      <c r="BL162"/>
      <c r="BM162"/>
      <c r="BN162"/>
      <c r="BO162"/>
      <c r="BP162"/>
      <c r="BQ162"/>
    </row>
    <row r="163" spans="1:69" hidden="1" x14ac:dyDescent="0.35">
      <c r="A163" s="130">
        <v>3</v>
      </c>
      <c r="B163" s="131" t="str">
        <f>IF(Exploitation!B82="","non_renseigné",Exploitation!B82)</f>
        <v>non_renseigné</v>
      </c>
      <c r="C163" s="131" t="str">
        <f>IF(Exploitation!C82="","",Exploitation!C82)</f>
        <v/>
      </c>
      <c r="D163" s="131">
        <f>IF(Exploitation!D82="",0,Exploitation!D82)</f>
        <v>0</v>
      </c>
      <c r="E163" s="131">
        <f>IF(Exploitation!E82="",0,Exploitation!E82)</f>
        <v>0</v>
      </c>
      <c r="F163" s="131" t="str">
        <f>IF(Exploitation!F82="","",Exploitation!F82)</f>
        <v/>
      </c>
      <c r="G163" s="131" t="str">
        <f>IF(Exploitation!G82="","",Exploitation!G82)</f>
        <v/>
      </c>
      <c r="H163" s="131" t="str">
        <f>IF(Exploitation!H82="","",Exploitation!H82)</f>
        <v/>
      </c>
      <c r="I163" s="131" t="str">
        <f>IF(Exploitation!I82="","",Exploitation!I82)</f>
        <v/>
      </c>
      <c r="J163" s="117">
        <f>IF(ISERROR(SUMIF($D$127:$D$146,B163,$S$127:$S$146)+IF(E163&lt;&gt;0,E163*$C$154,0)),0,SUMIF($D$127:$D$146,B163,$S$127:$S$146)+IF(E163&lt;&gt;0,E163*$C$154,0))</f>
        <v>0</v>
      </c>
      <c r="K163" s="117">
        <f t="shared" si="109"/>
        <v>0</v>
      </c>
      <c r="L163" s="117">
        <f>IF(ISERROR(SUMIF($E$127:$E$146,B163,$O$127:$O$146)+IF(D163&lt;&gt;0,D163*$E$154,0)),0,SUMIF($E$127:$E$146,B163,$O$127:$O$146)+IF(D163&lt;&gt;0,D163*$E$154,0))</f>
        <v>0</v>
      </c>
      <c r="M163" s="117">
        <f t="shared" si="110"/>
        <v>0</v>
      </c>
      <c r="N163" s="117">
        <f>IF(ISERROR(VLOOKUP(F163,'Données d''entrée'!$B$378:$E$385,4,FALSE)*M163*$I$127*'Données d''entrée'!$C$403),0,VLOOKUP(F163,'Données d''entrée'!$B$378:$E$385,4,FALSE)*M163*$I$127*'Données d''entrée'!$C$403)</f>
        <v>0</v>
      </c>
      <c r="O163" s="117">
        <f>IF(ISERROR(VLOOKUP(F163,'Données d''entrée'!$B$378:$E$385,4,FALSE)*M163*$I$127*$J$127),0,VLOOKUP(F163,'Données d''entrée'!$B$378:$E$385,4,FALSE)*M163*$I$127*$J$127)</f>
        <v>0</v>
      </c>
      <c r="P163" s="307">
        <f>IF($F163='Données d''entrée'!$B$382,L163*'Données d''entrée'!$F$382,0)</f>
        <v>0</v>
      </c>
      <c r="Q163" s="117">
        <f>IF($F163='Données d''entrée'!$B$382,L163*'Données d''entrée'!$G$382,L163-N163)</f>
        <v>0</v>
      </c>
      <c r="R163" s="117">
        <f>IF(ISERROR(Q163*VLOOKUP($F163,'Données d''entrée'!$B$378:$G$385,3,FALSE)),0,Q163*VLOOKUP($F163,'Données d''entrée'!$B$378:$G$385,3,FALSE))</f>
        <v>0</v>
      </c>
      <c r="S163" s="117">
        <f>IF(ISERROR(J163*VLOOKUP($F163,'Données d''entrée'!$B$378:$G$385,5,FALSE)),0,J163*VLOOKUP($F163,'Données d''entrée'!$B$378:$G$385,5,FALSE))</f>
        <v>0</v>
      </c>
      <c r="T163" s="117">
        <f>IF(ISERROR(J163*VLOOKUP($F163,'Données d''entrée'!$B$378:$G$385,6,FALSE)),0,J163*VLOOKUP($F163,'Données d''entrée'!$B$378:$G$385,6,FALSE))</f>
        <v>0</v>
      </c>
      <c r="U163" s="117">
        <f>IF(ISERROR(K163*(1-VLOOKUP(F163,'Données d''entrée'!$B$378:$H$385,7,FALSE))),0,K163*(1-VLOOKUP(F163,'Données d''entrée'!$B$378:$H$385,7,FALSE)))</f>
        <v>0</v>
      </c>
      <c r="V163" s="117">
        <f>IF(ISERROR(K163*VLOOKUP(F163,'Données d''entrée'!$B$378:$H$385,7,FALSE)),0,K163*VLOOKUP(F163,'Données d''entrée'!$B$378:$H$385,7,FALSE))</f>
        <v>0</v>
      </c>
      <c r="W163" s="117">
        <f>IF(ISERROR(IF($F163='Données d''entrée'!$B$382,P163,(Q163-R163)*VLOOKUP($F163,'Données d''entrée'!$B$378:$G$385,5,FALSE))),0,IF($F163='Données d''entrée'!$B$382,P163,(Q163-R163)*VLOOKUP($F163,'Données d''entrée'!$B$378:$G$385,5,FALSE)))</f>
        <v>0</v>
      </c>
      <c r="X163" s="117">
        <f>IF(ISERROR(IF($F163='Données d''entrée'!$B$382,(Q163-R163),(Q163-R163)*VLOOKUP($F163,'Données d''entrée'!$B$378:$G$385,6,FALSE))),0,IF($F163='Données d''entrée'!$B$382,(Q163-R163),(Q163-R163)*VLOOKUP($F163,'Données d''entrée'!$B$378:$G$385,6,FALSE)))</f>
        <v>0</v>
      </c>
      <c r="Y163" s="117">
        <f>IF(ISERROR(IF($F163='Données d''entrée'!$B$382,(M163-P163-Q163)*'Données d''entrée'!$H$381+P163,(M163+O163-R163)*(1-VLOOKUP($F163,'Données d''entrée'!$B$378:$H$385,7,FALSE)))),0,IF($F163='Données d''entrée'!$B$382,(M163-P163-Q163)*'Données d''entrée'!$H$381+P163,(M163+O163-R163)*(1-VLOOKUP($F163,'Données d''entrée'!$B$378:$H$385,7,FALSE))))</f>
        <v>0</v>
      </c>
      <c r="Z163" s="117">
        <f>IF(ISERROR(IF($F163='Données d''entrée'!$B$382,(M163-P163-Q163)*'Données d''entrée'!$H$381+Q163-R163,(M163+O163-R163)*VLOOKUP($F163,'Données d''entrée'!$B$378:$H$385,7,FALSE))),0,IF($F163='Données d''entrée'!$B$382,(M163-P163-Q163)*'Données d''entrée'!$H$381+Q163-R163,(M163+O163-R163)*VLOOKUP($F163,'Données d''entrée'!$B$378:$H$385,7,FALSE)))</f>
        <v>0</v>
      </c>
      <c r="AA163" s="117">
        <f t="shared" si="111"/>
        <v>0</v>
      </c>
      <c r="AB163" s="117">
        <f t="shared" si="112"/>
        <v>0</v>
      </c>
      <c r="AC163" s="117">
        <f t="shared" si="113"/>
        <v>0</v>
      </c>
      <c r="AD163" s="117">
        <f t="shared" si="114"/>
        <v>0</v>
      </c>
      <c r="AE163" s="117">
        <f>IF(ISERROR(VLOOKUP(F163,'Données d''entrée'!$B$378:$E$385,4,FALSE)*AD163*$I$127*'Données d''entrée'!$C$403),0,VLOOKUP(F163,'Données d''entrée'!$B$378:$E$385,4,FALSE)*AD163*$I$127*'Données d''entrée'!$C$403)</f>
        <v>0</v>
      </c>
      <c r="AF163" s="117">
        <f>IF(ISERROR(VLOOKUP(F163,'Données d''entrée'!$B$378:$E$385,4,FALSE)*AD163*$I$127*$J$127),0,VLOOKUP(F163,'Données d''entrée'!$B$378:$E$385,4,FALSE)*AD163*$I$127*$J$127)</f>
        <v>0</v>
      </c>
      <c r="AG163" s="117">
        <f>IF($F163='Données d''entrée'!$B$382,AC163*'Données d''entrée'!$F$382,0)</f>
        <v>0</v>
      </c>
      <c r="AH163" s="117">
        <f>IF($F163='Données d''entrée'!$B$382,AC163*'Données d''entrée'!$G$382,AC163-AE163)</f>
        <v>0</v>
      </c>
      <c r="AI163" s="117">
        <f>IF(ISERROR(AH163*VLOOKUP($F163,'Données d''entrée'!$B$378:$G$385,3,FALSE)),0,AH163*VLOOKUP($F163,'Données d''entrée'!$B$378:$G$385,3,FALSE))</f>
        <v>0</v>
      </c>
      <c r="AJ163" s="117">
        <f>IF(ISERROR(AA163*VLOOKUP($F163,'Données d''entrée'!$B$378:$G$385,5,FALSE)),0,AA163*VLOOKUP($F163,'Données d''entrée'!$B$378:$G$385,5,FALSE))</f>
        <v>0</v>
      </c>
      <c r="AK163" s="117">
        <f>IF(ISERROR(AA163*VLOOKUP($F163,'Données d''entrée'!$B$378:$G$385,6,FALSE)),0,AA163*VLOOKUP($F163,'Données d''entrée'!$B$378:$G$385,6,FALSE))</f>
        <v>0</v>
      </c>
      <c r="AL163" s="117">
        <f>IF(ISERROR(AB163*(1-VLOOKUP(F163,'Données d''entrée'!$B$378:$H$385,7,FALSE))),0,AB163*(1-VLOOKUP(F163,'Données d''entrée'!$B$378:$H$385,7,FALSE)))</f>
        <v>0</v>
      </c>
      <c r="AM163" s="117">
        <f>IF(ISERROR(AB163*VLOOKUP(F163,'Données d''entrée'!$B$378:$H$385,7,FALSE)),0,AB163*VLOOKUP(F163,'Données d''entrée'!$B$378:$H$385,7,FALSE))</f>
        <v>0</v>
      </c>
      <c r="AN163" s="117">
        <f>IF(ISERROR(IF($F163='Données d''entrée'!$B$382,AG163,(AH163-AI163)*VLOOKUP($F163,'Données d''entrée'!$B$378:$G$385,5,FALSE))),0,IF($F163='Données d''entrée'!$B$382,AG163,(AH163-AI163)*VLOOKUP($F163,'Données d''entrée'!$B$378:$G$385,5,FALSE)))</f>
        <v>0</v>
      </c>
      <c r="AO163" s="117">
        <f>IF(ISERROR(IF($F163='Données d''entrée'!$B$382,(AH163-AI163),(AH163-AI163)*VLOOKUP($F163,'Données d''entrée'!$B$378:$G$385,6,FALSE))),0,IF($F163='Données d''entrée'!$B$382,(AH163-AI163),(AH163-AI163)*VLOOKUP($F163,'Données d''entrée'!$B$378:$G$385,6,FALSE)))</f>
        <v>0</v>
      </c>
      <c r="AP163" s="117">
        <f>IF(ISERROR(IF($F163='Données d''entrée'!$B$382,(AD163-AG163-AH163)*'Données d''entrée'!$H$381+AG163,(AD163+AF163-AI163)*(1-VLOOKUP($F163,'Données d''entrée'!$B$378:$G$385,6,FALSE)))),0,IF($F163='Données d''entrée'!$B$382,(AD163-AG163-AH163)*'Données d''entrée'!$H$381+AG163,(AD163+AF163-AI163)*(1-VLOOKUP($F163,'Données d''entrée'!$B$378:$G$385,6,FALSE))))</f>
        <v>0</v>
      </c>
      <c r="AQ163" s="117">
        <f>IF(ISERROR(IF($F163='Données d''entrée'!$B$382,(AD163-AG163-AH163)*'Données d''entrée'!$H$381+AH163-AI163,(AD163+AF163-AI163)*VLOOKUP($F163,'Données d''entrée'!$B$378:$G$385,6,FALSE))),0,IF($F163='Données d''entrée'!$B$382,(AD163-AG163-AH163)*'Données d''entrée'!$H$381+AH163-AI163,(AD163+AF163-AI163)*VLOOKUP($F163,'Données d''entrée'!$B$378:$G$385,6,FALSE)))</f>
        <v>0</v>
      </c>
      <c r="AT163"/>
      <c r="AU163"/>
      <c r="AV163"/>
      <c r="AW163"/>
      <c r="AX163"/>
      <c r="AY163"/>
      <c r="AZ163"/>
      <c r="BA163"/>
      <c r="BB163"/>
      <c r="BC163"/>
      <c r="BD163"/>
      <c r="BE163"/>
      <c r="BF163"/>
      <c r="BG163"/>
      <c r="BH163"/>
      <c r="BI163"/>
      <c r="BJ163"/>
      <c r="BK163"/>
      <c r="BL163"/>
      <c r="BM163"/>
      <c r="BN163"/>
      <c r="BO163"/>
      <c r="BP163"/>
      <c r="BQ163"/>
    </row>
    <row r="164" spans="1:69" hidden="1" x14ac:dyDescent="0.35">
      <c r="A164" s="130">
        <v>4</v>
      </c>
      <c r="B164" s="131" t="str">
        <f>IF(Exploitation!B83="","non_renseigné",Exploitation!B83)</f>
        <v>non_renseigné</v>
      </c>
      <c r="C164" s="131" t="str">
        <f>IF(Exploitation!C83="","",Exploitation!C83)</f>
        <v/>
      </c>
      <c r="D164" s="131">
        <f>IF(Exploitation!D83="",0,Exploitation!D83)</f>
        <v>0</v>
      </c>
      <c r="E164" s="131">
        <f>IF(Exploitation!E83="",0,Exploitation!E83)</f>
        <v>0</v>
      </c>
      <c r="F164" s="131" t="str">
        <f>IF(Exploitation!F83="","",Exploitation!F83)</f>
        <v/>
      </c>
      <c r="G164" s="131" t="str">
        <f>IF(Exploitation!G83="","",Exploitation!G83)</f>
        <v/>
      </c>
      <c r="H164" s="131" t="str">
        <f>IF(Exploitation!H83="","",Exploitation!H83)</f>
        <v/>
      </c>
      <c r="I164" s="131" t="str">
        <f>IF(Exploitation!I83="","",Exploitation!I83)</f>
        <v/>
      </c>
      <c r="J164" s="117">
        <f>IF(ISERROR(SUMIF($D$127:$D$146,B164,$S$127:$S$146)+IF(E164&lt;&gt;0,E164*$C$154,0)),0,SUMIF($D$127:$D$146,B164,$S$127:$S$146)+IF(E164&lt;&gt;0,E164*$C$154,0))</f>
        <v>0</v>
      </c>
      <c r="K164" s="117">
        <f t="shared" si="109"/>
        <v>0</v>
      </c>
      <c r="L164" s="117">
        <f>IF(ISERROR(SUMIF($E$127:$E$146,B164,$O$127:$O$146)+IF(D164&lt;&gt;0,D164*$E$154,0)),0,SUMIF($E$127:$E$146,B164,$O$127:$O$146)+IF(D164&lt;&gt;0,D164*$E$154,0))</f>
        <v>0</v>
      </c>
      <c r="M164" s="117">
        <f t="shared" si="110"/>
        <v>0</v>
      </c>
      <c r="N164" s="117">
        <f>IF(ISERROR(VLOOKUP(F164,'Données d''entrée'!$B$378:$E$385,4,FALSE)*M164*$I$127*'Données d''entrée'!$C$403),0,VLOOKUP(F164,'Données d''entrée'!$B$378:$E$385,4,FALSE)*M164*$I$127*'Données d''entrée'!$C$403)</f>
        <v>0</v>
      </c>
      <c r="O164" s="117">
        <f>IF(ISERROR(VLOOKUP(F164,'Données d''entrée'!$B$378:$E$385,4,FALSE)*M164*$I$127*$J$127),0,VLOOKUP(F164,'Données d''entrée'!$B$378:$E$385,4,FALSE)*M164*$I$127*$J$127)</f>
        <v>0</v>
      </c>
      <c r="P164" s="307">
        <f>IF($F164='Données d''entrée'!$B$382,L164*'Données d''entrée'!$F$382,0)</f>
        <v>0</v>
      </c>
      <c r="Q164" s="117">
        <f>IF($F164='Données d''entrée'!$B$382,L164*'Données d''entrée'!$G$382,L164-N164)</f>
        <v>0</v>
      </c>
      <c r="R164" s="117">
        <f>IF(ISERROR(Q164*VLOOKUP($F164,'Données d''entrée'!$B$378:$G$385,3,FALSE)),0,Q164*VLOOKUP($F164,'Données d''entrée'!$B$378:$G$385,3,FALSE))</f>
        <v>0</v>
      </c>
      <c r="S164" s="117">
        <f>IF(ISERROR(J164*VLOOKUP($F164,'Données d''entrée'!$B$378:$G$385,5,FALSE)),0,J164*VLOOKUP($F164,'Données d''entrée'!$B$378:$G$385,5,FALSE))</f>
        <v>0</v>
      </c>
      <c r="T164" s="117">
        <f>IF(ISERROR(J164*VLOOKUP($F164,'Données d''entrée'!$B$378:$G$385,6,FALSE)),0,J164*VLOOKUP($F164,'Données d''entrée'!$B$378:$G$385,6,FALSE))</f>
        <v>0</v>
      </c>
      <c r="U164" s="117">
        <f>IF(ISERROR(K164*(1-VLOOKUP(F164,'Données d''entrée'!$B$378:$H$385,7,FALSE))),0,K164*(1-VLOOKUP(F164,'Données d''entrée'!$B$378:$H$385,7,FALSE)))</f>
        <v>0</v>
      </c>
      <c r="V164" s="117">
        <f>IF(ISERROR(K164*VLOOKUP(F164,'Données d''entrée'!$B$378:$H$385,7,FALSE)),0,K164*VLOOKUP(F164,'Données d''entrée'!$B$378:$H$385,7,FALSE))</f>
        <v>0</v>
      </c>
      <c r="W164" s="117">
        <f>IF(ISERROR(IF($F164='Données d''entrée'!$B$382,P164,(Q164-R164)*VLOOKUP($F164,'Données d''entrée'!$B$378:$G$385,5,FALSE))),0,IF($F164='Données d''entrée'!$B$382,P164,(Q164-R164)*VLOOKUP($F164,'Données d''entrée'!$B$378:$G$385,5,FALSE)))</f>
        <v>0</v>
      </c>
      <c r="X164" s="117">
        <f>IF(ISERROR(IF($F164='Données d''entrée'!$B$382,(Q164-R164),(Q164-R164)*VLOOKUP($F164,'Données d''entrée'!$B$378:$G$385,6,FALSE))),0,IF($F164='Données d''entrée'!$B$382,(Q164-R164),(Q164-R164)*VLOOKUP($F164,'Données d''entrée'!$B$378:$G$385,6,FALSE)))</f>
        <v>0</v>
      </c>
      <c r="Y164" s="117">
        <f>IF(ISERROR(IF($F164='Données d''entrée'!$B$382,(M164-P164-Q164)*'Données d''entrée'!$H$381+P164,(M164+O164-R164)*(1-VLOOKUP($F164,'Données d''entrée'!$B$378:$H$385,7,FALSE)))),0,IF($F164='Données d''entrée'!$B$382,(M164-P164-Q164)*'Données d''entrée'!$H$381+P164,(M164+O164-R164)*(1-VLOOKUP($F164,'Données d''entrée'!$B$378:$H$385,7,FALSE))))</f>
        <v>0</v>
      </c>
      <c r="Z164" s="117">
        <f>IF(ISERROR(IF($F164='Données d''entrée'!$B$382,(M164-P164-Q164)*'Données d''entrée'!$H$381+Q164-R164,(M164+O164-R164)*VLOOKUP($F164,'Données d''entrée'!$B$378:$H$385,7,FALSE))),0,IF($F164='Données d''entrée'!$B$382,(M164-P164-Q164)*'Données d''entrée'!$H$381+Q164-R164,(M164+O164-R164)*VLOOKUP($F164,'Données d''entrée'!$B$378:$H$385,7,FALSE)))</f>
        <v>0</v>
      </c>
      <c r="AA164" s="117">
        <f t="shared" si="111"/>
        <v>0</v>
      </c>
      <c r="AB164" s="117">
        <f t="shared" si="112"/>
        <v>0</v>
      </c>
      <c r="AC164" s="117">
        <f t="shared" si="113"/>
        <v>0</v>
      </c>
      <c r="AD164" s="117">
        <f t="shared" si="114"/>
        <v>0</v>
      </c>
      <c r="AE164" s="117">
        <f>IF(ISERROR(VLOOKUP(F164,'Données d''entrée'!$B$378:$E$385,4,FALSE)*AD164*$I$127*'Données d''entrée'!$C$403),0,VLOOKUP(F164,'Données d''entrée'!$B$378:$E$385,4,FALSE)*AD164*$I$127*'Données d''entrée'!$C$403)</f>
        <v>0</v>
      </c>
      <c r="AF164" s="117">
        <f>IF(ISERROR(VLOOKUP(F164,'Données d''entrée'!$B$378:$E$385,4,FALSE)*AD164*$I$127*$J$127),0,VLOOKUP(F164,'Données d''entrée'!$B$378:$E$385,4,FALSE)*AD164*$I$127*$J$127)</f>
        <v>0</v>
      </c>
      <c r="AG164" s="117">
        <f>IF($F164='Données d''entrée'!$B$382,AC164*'Données d''entrée'!$F$382,0)</f>
        <v>0</v>
      </c>
      <c r="AH164" s="117">
        <f>IF($F164='Données d''entrée'!$B$382,AC164*'Données d''entrée'!$G$382,AC164-AE164)</f>
        <v>0</v>
      </c>
      <c r="AI164" s="117">
        <f>IF(ISERROR(AH164*VLOOKUP($F164,'Données d''entrée'!$B$378:$G$385,3,FALSE)),0,AH164*VLOOKUP($F164,'Données d''entrée'!$B$378:$G$385,3,FALSE))</f>
        <v>0</v>
      </c>
      <c r="AJ164" s="117">
        <f>IF(ISERROR(AA164*VLOOKUP($F164,'Données d''entrée'!$B$378:$G$385,5,FALSE)),0,AA164*VLOOKUP($F164,'Données d''entrée'!$B$378:$G$385,5,FALSE))</f>
        <v>0</v>
      </c>
      <c r="AK164" s="117">
        <f>IF(ISERROR(AA164*VLOOKUP($F164,'Données d''entrée'!$B$378:$G$385,6,FALSE)),0,AA164*VLOOKUP($F164,'Données d''entrée'!$B$378:$G$385,6,FALSE))</f>
        <v>0</v>
      </c>
      <c r="AL164" s="117">
        <f>IF(ISERROR(AB164*(1-VLOOKUP(F164,'Données d''entrée'!$B$378:$H$385,7,FALSE))),0,AB164*(1-VLOOKUP(F164,'Données d''entrée'!$B$378:$H$385,7,FALSE)))</f>
        <v>0</v>
      </c>
      <c r="AM164" s="117">
        <f>IF(ISERROR(AB164*VLOOKUP(F164,'Données d''entrée'!$B$378:$H$385,7,FALSE)),0,AB164*VLOOKUP(F164,'Données d''entrée'!$B$378:$H$385,7,FALSE))</f>
        <v>0</v>
      </c>
      <c r="AN164" s="117">
        <f>IF(ISERROR(IF($F164='Données d''entrée'!$B$382,AG164,(AH164-AI164)*VLOOKUP($F164,'Données d''entrée'!$B$378:$G$385,5,FALSE))),0,IF($F164='Données d''entrée'!$B$382,AG164,(AH164-AI164)*VLOOKUP($F164,'Données d''entrée'!$B$378:$G$385,5,FALSE)))</f>
        <v>0</v>
      </c>
      <c r="AO164" s="117">
        <f>IF(ISERROR(IF($F164='Données d''entrée'!$B$382,(AH164-AI164),(AH164-AI164)*VLOOKUP($F164,'Données d''entrée'!$B$378:$G$385,6,FALSE))),0,IF($F164='Données d''entrée'!$B$382,(AH164-AI164),(AH164-AI164)*VLOOKUP($F164,'Données d''entrée'!$B$378:$G$385,6,FALSE)))</f>
        <v>0</v>
      </c>
      <c r="AP164" s="117">
        <f>IF(ISERROR(IF($F164='Données d''entrée'!$B$382,(AD164-AG164-AH164)*'Données d''entrée'!$H$381+AG164,(AD164+AF164-AI164)*(1-VLOOKUP($F164,'Données d''entrée'!$B$378:$G$385,6,FALSE)))),0,IF($F164='Données d''entrée'!$B$382,(AD164-AG164-AH164)*'Données d''entrée'!$H$381+AG164,(AD164+AF164-AI164)*(1-VLOOKUP($F164,'Données d''entrée'!$B$378:$G$385,6,FALSE))))</f>
        <v>0</v>
      </c>
      <c r="AQ164" s="117">
        <f>IF(ISERROR(IF($F164='Données d''entrée'!$B$382,(AD164-AG164-AH164)*'Données d''entrée'!$H$381+AH164-AI164,(AD164+AF164-AI164)*VLOOKUP($F164,'Données d''entrée'!$B$378:$G$385,6,FALSE))),0,IF($F164='Données d''entrée'!$B$382,(AD164-AG164-AH164)*'Données d''entrée'!$H$381+AH164-AI164,(AD164+AF164-AI164)*VLOOKUP($F164,'Données d''entrée'!$B$378:$G$385,6,FALSE)))</f>
        <v>0</v>
      </c>
      <c r="AT164"/>
      <c r="AU164"/>
      <c r="AV164"/>
      <c r="AW164"/>
      <c r="AX164"/>
      <c r="AY164"/>
      <c r="AZ164"/>
      <c r="BA164"/>
      <c r="BB164"/>
      <c r="BC164"/>
      <c r="BD164"/>
      <c r="BE164"/>
      <c r="BF164"/>
      <c r="BG164"/>
      <c r="BH164"/>
      <c r="BI164"/>
      <c r="BJ164"/>
      <c r="BK164"/>
      <c r="BL164"/>
      <c r="BM164"/>
      <c r="BN164"/>
      <c r="BO164"/>
      <c r="BP164"/>
      <c r="BQ164"/>
    </row>
    <row r="165" spans="1:69" hidden="1" x14ac:dyDescent="0.35">
      <c r="A165" s="130">
        <v>5</v>
      </c>
      <c r="B165" s="131" t="str">
        <f>IF(Exploitation!B84="","non_renseigné",Exploitation!B84)</f>
        <v>non_renseigné</v>
      </c>
      <c r="C165" s="131" t="str">
        <f>IF(Exploitation!C84="","",Exploitation!C84)</f>
        <v/>
      </c>
      <c r="D165" s="131">
        <f>IF(Exploitation!D84="",0,Exploitation!D84)</f>
        <v>0</v>
      </c>
      <c r="E165" s="131">
        <f>IF(Exploitation!E84="",0,Exploitation!E84)</f>
        <v>0</v>
      </c>
      <c r="F165" s="131" t="str">
        <f>IF(Exploitation!F84="","",Exploitation!F84)</f>
        <v/>
      </c>
      <c r="G165" s="131" t="str">
        <f>IF(Exploitation!G84="","",Exploitation!G84)</f>
        <v/>
      </c>
      <c r="H165" s="131" t="str">
        <f>IF(Exploitation!H84="","",Exploitation!H84)</f>
        <v/>
      </c>
      <c r="I165" s="131" t="str">
        <f>IF(Exploitation!I84="","",Exploitation!I84)</f>
        <v/>
      </c>
      <c r="J165" s="117">
        <f>IF(ISERROR(SUMIF($D$127:$D$146,B165,$S$127:$S$146)+IF(E165&lt;&gt;0,E165*$C$154,0)),0,SUMIF($D$127:$D$146,B165,$S$127:$S$146)+IF(E165&lt;&gt;0,E165*$C$154,0))</f>
        <v>0</v>
      </c>
      <c r="K165" s="117">
        <f t="shared" si="109"/>
        <v>0</v>
      </c>
      <c r="L165" s="117">
        <f>IF(ISERROR(SUMIF($E$127:$E$146,B165,$O$127:$O$146)+IF(D165&lt;&gt;0,D165*$E$154,0)),0,SUMIF($E$127:$E$146,B165,$O$127:$O$146)+IF(D165&lt;&gt;0,D165*$E$154,0))</f>
        <v>0</v>
      </c>
      <c r="M165" s="117">
        <f t="shared" si="110"/>
        <v>0</v>
      </c>
      <c r="N165" s="117">
        <f>IF(ISERROR(VLOOKUP(F165,'Données d''entrée'!$B$378:$E$385,4,FALSE)*M165*$I$127*'Données d''entrée'!$C$403),0,VLOOKUP(F165,'Données d''entrée'!$B$378:$E$385,4,FALSE)*M165*$I$127*'Données d''entrée'!$C$403)</f>
        <v>0</v>
      </c>
      <c r="O165" s="117">
        <f>IF(ISERROR(VLOOKUP(F165,'Données d''entrée'!$B$378:$E$385,4,FALSE)*M165*$I$127*$J$127),0,VLOOKUP(F165,'Données d''entrée'!$B$378:$E$385,4,FALSE)*M165*$I$127*$J$127)</f>
        <v>0</v>
      </c>
      <c r="P165" s="307">
        <f>IF($F165='Données d''entrée'!$B$382,L165*'Données d''entrée'!$F$382,0)</f>
        <v>0</v>
      </c>
      <c r="Q165" s="117">
        <f>IF($F165='Données d''entrée'!$B$382,L165*'Données d''entrée'!$G$382,L165-N165)</f>
        <v>0</v>
      </c>
      <c r="R165" s="117">
        <f>IF(ISERROR(Q165*VLOOKUP($F165,'Données d''entrée'!$B$378:$G$385,3,FALSE)),0,Q165*VLOOKUP($F165,'Données d''entrée'!$B$378:$G$385,3,FALSE))</f>
        <v>0</v>
      </c>
      <c r="S165" s="117">
        <f>IF(ISERROR(J165*VLOOKUP($F165,'Données d''entrée'!$B$378:$G$385,5,FALSE)),0,J165*VLOOKUP($F165,'Données d''entrée'!$B$378:$G$385,5,FALSE))</f>
        <v>0</v>
      </c>
      <c r="T165" s="117">
        <f>IF(ISERROR(J165*VLOOKUP($F165,'Données d''entrée'!$B$378:$G$385,6,FALSE)),0,J165*VLOOKUP($F165,'Données d''entrée'!$B$378:$G$385,6,FALSE))</f>
        <v>0</v>
      </c>
      <c r="U165" s="117">
        <f>IF(ISERROR(K165*(1-VLOOKUP(F165,'Données d''entrée'!$B$378:$H$385,7,FALSE))),0,K165*(1-VLOOKUP(F165,'Données d''entrée'!$B$378:$H$385,7,FALSE)))</f>
        <v>0</v>
      </c>
      <c r="V165" s="117">
        <f>IF(ISERROR(K165*VLOOKUP(F165,'Données d''entrée'!$B$378:$H$385,7,FALSE)),0,K165*VLOOKUP(F165,'Données d''entrée'!$B$378:$H$385,7,FALSE))</f>
        <v>0</v>
      </c>
      <c r="W165" s="117">
        <f>IF(ISERROR(IF($F165='Données d''entrée'!$B$382,P165,(Q165-R165)*VLOOKUP($F165,'Données d''entrée'!$B$378:$G$385,5,FALSE))),0,IF($F165='Données d''entrée'!$B$382,P165,(Q165-R165)*VLOOKUP($F165,'Données d''entrée'!$B$378:$G$385,5,FALSE)))</f>
        <v>0</v>
      </c>
      <c r="X165" s="117">
        <f>IF(ISERROR(IF($F165='Données d''entrée'!$B$382,(Q165-R165),(Q165-R165)*VLOOKUP($F165,'Données d''entrée'!$B$378:$G$385,6,FALSE))),0,IF($F165='Données d''entrée'!$B$382,(Q165-R165),(Q165-R165)*VLOOKUP($F165,'Données d''entrée'!$B$378:$G$385,6,FALSE)))</f>
        <v>0</v>
      </c>
      <c r="Y165" s="117">
        <f>IF(ISERROR(IF($F165='Données d''entrée'!$B$382,(M165-P165-Q165)*'Données d''entrée'!$H$381+P165,(M165+O165-R165)*(1-VLOOKUP($F165,'Données d''entrée'!$B$378:$H$385,7,FALSE)))),0,IF($F165='Données d''entrée'!$B$382,(M165-P165-Q165)*'Données d''entrée'!$H$381+P165,(M165+O165-R165)*(1-VLOOKUP($F165,'Données d''entrée'!$B$378:$H$385,7,FALSE))))</f>
        <v>0</v>
      </c>
      <c r="Z165" s="117">
        <f>IF(ISERROR(IF($F165='Données d''entrée'!$B$382,(M165-P165-Q165)*'Données d''entrée'!$H$381+Q165-R165,(M165+O165-R165)*VLOOKUP($F165,'Données d''entrée'!$B$378:$H$385,7,FALSE))),0,IF($F165='Données d''entrée'!$B$382,(M165-P165-Q165)*'Données d''entrée'!$H$381+Q165-R165,(M165+O165-R165)*VLOOKUP($F165,'Données d''entrée'!$B$378:$H$385,7,FALSE)))</f>
        <v>0</v>
      </c>
      <c r="AA165" s="117">
        <f t="shared" si="111"/>
        <v>0</v>
      </c>
      <c r="AB165" s="117">
        <f t="shared" si="112"/>
        <v>0</v>
      </c>
      <c r="AC165" s="117">
        <f t="shared" si="113"/>
        <v>0</v>
      </c>
      <c r="AD165" s="117">
        <f t="shared" si="114"/>
        <v>0</v>
      </c>
      <c r="AE165" s="117">
        <f>IF(ISERROR(VLOOKUP(F165,'Données d''entrée'!$B$378:$E$385,4,FALSE)*AD165*$I$127*'Données d''entrée'!$C$403),0,VLOOKUP(F165,'Données d''entrée'!$B$378:$E$385,4,FALSE)*AD165*$I$127*'Données d''entrée'!$C$403)</f>
        <v>0</v>
      </c>
      <c r="AF165" s="117">
        <f>IF(ISERROR(VLOOKUP(F165,'Données d''entrée'!$B$378:$E$385,4,FALSE)*AD165*$I$127*$J$127),0,VLOOKUP(F165,'Données d''entrée'!$B$378:$E$385,4,FALSE)*AD165*$I$127*$J$127)</f>
        <v>0</v>
      </c>
      <c r="AG165" s="117">
        <f>IF($F165='Données d''entrée'!$B$382,AC165*'Données d''entrée'!$F$382,0)</f>
        <v>0</v>
      </c>
      <c r="AH165" s="117">
        <f>IF($F165='Données d''entrée'!$B$382,AC165*'Données d''entrée'!$G$382,AC165-AE165)</f>
        <v>0</v>
      </c>
      <c r="AI165" s="117">
        <f>IF(ISERROR(AH165*VLOOKUP($F165,'Données d''entrée'!$B$378:$G$385,3,FALSE)),0,AH165*VLOOKUP($F165,'Données d''entrée'!$B$378:$G$385,3,FALSE))</f>
        <v>0</v>
      </c>
      <c r="AJ165" s="117">
        <f>IF(ISERROR(AA165*VLOOKUP($F165,'Données d''entrée'!$B$378:$G$385,5,FALSE)),0,AA165*VLOOKUP($F165,'Données d''entrée'!$B$378:$G$385,5,FALSE))</f>
        <v>0</v>
      </c>
      <c r="AK165" s="117">
        <f>IF(ISERROR(AA165*VLOOKUP($F165,'Données d''entrée'!$B$378:$G$385,6,FALSE)),0,AA165*VLOOKUP($F165,'Données d''entrée'!$B$378:$G$385,6,FALSE))</f>
        <v>0</v>
      </c>
      <c r="AL165" s="117">
        <f>IF(ISERROR(AB165*(1-VLOOKUP(F165,'Données d''entrée'!$B$378:$H$385,7,FALSE))),0,AB165*(1-VLOOKUP(F165,'Données d''entrée'!$B$378:$H$385,7,FALSE)))</f>
        <v>0</v>
      </c>
      <c r="AM165" s="117">
        <f>IF(ISERROR(AB165*VLOOKUP(F165,'Données d''entrée'!$B$378:$H$385,7,FALSE)),0,AB165*VLOOKUP(F165,'Données d''entrée'!$B$378:$H$385,7,FALSE))</f>
        <v>0</v>
      </c>
      <c r="AN165" s="117">
        <f>IF(ISERROR(IF($F165='Données d''entrée'!$B$382,AG165,(AH165-AI165)*VLOOKUP($F165,'Données d''entrée'!$B$378:$G$385,5,FALSE))),0,IF($F165='Données d''entrée'!$B$382,AG165,(AH165-AI165)*VLOOKUP($F165,'Données d''entrée'!$B$378:$G$385,5,FALSE)))</f>
        <v>0</v>
      </c>
      <c r="AO165" s="117">
        <f>IF(ISERROR(IF($F165='Données d''entrée'!$B$382,(AH165-AI165),(AH165-AI165)*VLOOKUP($F165,'Données d''entrée'!$B$378:$G$385,6,FALSE))),0,IF($F165='Données d''entrée'!$B$382,(AH165-AI165),(AH165-AI165)*VLOOKUP($F165,'Données d''entrée'!$B$378:$G$385,6,FALSE)))</f>
        <v>0</v>
      </c>
      <c r="AP165" s="117">
        <f>IF(ISERROR(IF($F165='Données d''entrée'!$B$382,(AD165-AG165-AH165)*'Données d''entrée'!$H$381+AG165,(AD165+AF165-AI165)*(1-VLOOKUP($F165,'Données d''entrée'!$B$378:$G$385,6,FALSE)))),0,IF($F165='Données d''entrée'!$B$382,(AD165-AG165-AH165)*'Données d''entrée'!$H$381+AG165,(AD165+AF165-AI165)*(1-VLOOKUP($F165,'Données d''entrée'!$B$378:$G$385,6,FALSE))))</f>
        <v>0</v>
      </c>
      <c r="AQ165" s="117">
        <f>IF(ISERROR(IF($F165='Données d''entrée'!$B$382,(AD165-AG165-AH165)*'Données d''entrée'!$H$381+AH165-AI165,(AD165+AF165-AI165)*VLOOKUP($F165,'Données d''entrée'!$B$378:$G$385,6,FALSE))),0,IF($F165='Données d''entrée'!$B$382,(AD165-AG165-AH165)*'Données d''entrée'!$H$381+AH165-AI165,(AD165+AF165-AI165)*VLOOKUP($F165,'Données d''entrée'!$B$378:$G$385,6,FALSE)))</f>
        <v>0</v>
      </c>
      <c r="AT165"/>
      <c r="AU165"/>
      <c r="AV165"/>
      <c r="AW165"/>
      <c r="AX165"/>
      <c r="AY165"/>
      <c r="AZ165"/>
      <c r="BA165"/>
      <c r="BB165"/>
      <c r="BC165"/>
      <c r="BD165"/>
      <c r="BE165"/>
      <c r="BF165"/>
      <c r="BG165"/>
      <c r="BH165"/>
      <c r="BI165"/>
      <c r="BJ165"/>
      <c r="BK165"/>
      <c r="BL165"/>
      <c r="BM165"/>
      <c r="BN165"/>
      <c r="BO165"/>
      <c r="BP165"/>
      <c r="BQ165"/>
    </row>
    <row r="166" spans="1:69" customFormat="1" hidden="1" x14ac:dyDescent="0.35">
      <c r="AE166" s="308"/>
    </row>
    <row r="167" spans="1:69" hidden="1" x14ac:dyDescent="0.35">
      <c r="B167" s="127"/>
      <c r="M167" s="153"/>
      <c r="N167" s="151"/>
      <c r="O167" s="152"/>
      <c r="AB167" s="153"/>
      <c r="AO167"/>
      <c r="AP167"/>
      <c r="AQ167"/>
      <c r="AR167"/>
      <c r="AS167"/>
      <c r="AT167"/>
      <c r="AU167"/>
      <c r="AV167"/>
      <c r="AW167"/>
      <c r="AX167"/>
      <c r="AY167"/>
      <c r="AZ167"/>
      <c r="BA167"/>
      <c r="BB167"/>
      <c r="BC167"/>
      <c r="BD167"/>
      <c r="BE167"/>
      <c r="BF167"/>
      <c r="BG167"/>
      <c r="BH167"/>
      <c r="BI167"/>
      <c r="BJ167"/>
      <c r="BK167"/>
      <c r="BL167"/>
      <c r="BM167"/>
      <c r="BN167"/>
    </row>
    <row r="168" spans="1:69" hidden="1" x14ac:dyDescent="0.35">
      <c r="B168" s="127" t="s">
        <v>480</v>
      </c>
      <c r="AO168"/>
      <c r="AP168"/>
      <c r="AQ168"/>
      <c r="AR168"/>
      <c r="AS168"/>
      <c r="AT168"/>
      <c r="AU168"/>
      <c r="AV168"/>
      <c r="AW168"/>
      <c r="AX168"/>
      <c r="AY168"/>
      <c r="AZ168"/>
      <c r="BA168"/>
      <c r="BB168"/>
      <c r="BC168"/>
      <c r="BD168"/>
      <c r="BE168"/>
      <c r="BF168"/>
      <c r="BG168"/>
      <c r="BH168"/>
      <c r="BI168"/>
      <c r="BJ168"/>
      <c r="BK168"/>
      <c r="BL168"/>
      <c r="BM168"/>
      <c r="BN168"/>
    </row>
    <row r="169" spans="1:69" hidden="1" x14ac:dyDescent="0.35">
      <c r="M169" s="163"/>
      <c r="AO169"/>
      <c r="AP169"/>
      <c r="AQ169"/>
      <c r="AR169"/>
      <c r="AS169"/>
      <c r="AT169"/>
      <c r="AU169"/>
      <c r="AV169"/>
      <c r="AW169"/>
      <c r="AX169"/>
      <c r="AY169"/>
      <c r="AZ169"/>
      <c r="BA169"/>
      <c r="BB169"/>
      <c r="BC169"/>
      <c r="BD169"/>
      <c r="BE169"/>
      <c r="BF169"/>
      <c r="BG169"/>
      <c r="BH169"/>
      <c r="BI169"/>
      <c r="BJ169"/>
      <c r="BK169"/>
      <c r="BL169"/>
      <c r="BM169"/>
      <c r="BN169"/>
    </row>
    <row r="170" spans="1:69" ht="15" hidden="1" customHeight="1" x14ac:dyDescent="0.35">
      <c r="F170" s="517" t="s">
        <v>493</v>
      </c>
      <c r="G170" s="518"/>
      <c r="H170" s="518"/>
      <c r="I170" s="518"/>
      <c r="J170" s="518"/>
      <c r="K170" s="518"/>
      <c r="L170" s="518"/>
      <c r="M170" s="518"/>
      <c r="N170" s="518"/>
      <c r="O170" s="518"/>
      <c r="P170" s="518"/>
      <c r="Q170" s="518"/>
      <c r="R170" s="518"/>
      <c r="S170" s="518"/>
      <c r="T170" s="519"/>
      <c r="U170" s="517" t="s">
        <v>205</v>
      </c>
      <c r="V170" s="518"/>
      <c r="W170" s="518"/>
      <c r="X170" s="518"/>
      <c r="Y170" s="518"/>
      <c r="Z170" s="518"/>
      <c r="AA170" s="518"/>
      <c r="AB170" s="518"/>
      <c r="AC170" s="518"/>
      <c r="AD170" s="518"/>
      <c r="AE170" s="518"/>
      <c r="AF170" s="518"/>
      <c r="AG170" s="518"/>
      <c r="AH170" s="518"/>
      <c r="AI170" s="519"/>
      <c r="AO170"/>
      <c r="AP170"/>
      <c r="AQ170"/>
      <c r="AR170"/>
      <c r="AS170"/>
      <c r="AT170"/>
      <c r="AU170"/>
      <c r="AV170"/>
      <c r="AW170"/>
      <c r="AX170"/>
      <c r="AY170"/>
      <c r="AZ170"/>
      <c r="BA170"/>
      <c r="BB170"/>
      <c r="BC170"/>
      <c r="BD170"/>
      <c r="BE170"/>
      <c r="BF170"/>
      <c r="BG170"/>
      <c r="BH170"/>
      <c r="BI170"/>
      <c r="BJ170"/>
      <c r="BK170"/>
      <c r="BL170"/>
      <c r="BM170"/>
      <c r="BN170"/>
    </row>
    <row r="171" spans="1:69" ht="43.5" hidden="1" x14ac:dyDescent="0.35">
      <c r="C171" s="112" t="s">
        <v>151</v>
      </c>
      <c r="D171" s="112" t="s">
        <v>581</v>
      </c>
      <c r="E171" s="112" t="s">
        <v>582</v>
      </c>
      <c r="F171" s="112" t="s">
        <v>466</v>
      </c>
      <c r="G171" s="112" t="s">
        <v>467</v>
      </c>
      <c r="H171" s="112" t="s">
        <v>655</v>
      </c>
      <c r="I171" s="112" t="s">
        <v>479</v>
      </c>
      <c r="J171" s="112" t="s">
        <v>190</v>
      </c>
      <c r="K171" s="112" t="s">
        <v>464</v>
      </c>
      <c r="L171" s="112" t="s">
        <v>465</v>
      </c>
      <c r="M171" s="112" t="s">
        <v>481</v>
      </c>
      <c r="N171" s="112" t="s">
        <v>482</v>
      </c>
      <c r="O171" s="112" t="s">
        <v>483</v>
      </c>
      <c r="P171" s="112" t="s">
        <v>484</v>
      </c>
      <c r="Q171" s="164" t="s">
        <v>204</v>
      </c>
      <c r="R171" s="112" t="s">
        <v>485</v>
      </c>
      <c r="S171" s="112" t="s">
        <v>486</v>
      </c>
      <c r="T171" s="165" t="s">
        <v>487</v>
      </c>
      <c r="U171" s="112" t="s">
        <v>466</v>
      </c>
      <c r="V171" s="112" t="s">
        <v>467</v>
      </c>
      <c r="W171" s="112" t="s">
        <v>655</v>
      </c>
      <c r="X171" s="112" t="s">
        <v>479</v>
      </c>
      <c r="Y171" s="112" t="s">
        <v>190</v>
      </c>
      <c r="Z171" s="112" t="s">
        <v>464</v>
      </c>
      <c r="AA171" s="112" t="s">
        <v>465</v>
      </c>
      <c r="AB171" s="112" t="s">
        <v>481</v>
      </c>
      <c r="AC171" s="112" t="s">
        <v>482</v>
      </c>
      <c r="AD171" s="112" t="s">
        <v>483</v>
      </c>
      <c r="AE171" s="112" t="s">
        <v>484</v>
      </c>
      <c r="AF171" s="164" t="s">
        <v>204</v>
      </c>
      <c r="AG171" s="112" t="s">
        <v>485</v>
      </c>
      <c r="AH171" s="112" t="s">
        <v>486</v>
      </c>
      <c r="AI171" s="165" t="s">
        <v>487</v>
      </c>
      <c r="AQ171"/>
      <c r="AR171"/>
      <c r="AS171"/>
      <c r="AT171"/>
      <c r="AU171"/>
      <c r="AV171"/>
      <c r="AW171"/>
      <c r="AX171"/>
      <c r="AY171"/>
      <c r="AZ171"/>
      <c r="BA171"/>
      <c r="BB171"/>
      <c r="BC171"/>
      <c r="BD171"/>
      <c r="BE171"/>
      <c r="BF171"/>
      <c r="BG171"/>
      <c r="BH171"/>
      <c r="BI171"/>
      <c r="BJ171"/>
      <c r="BK171"/>
      <c r="BL171"/>
      <c r="BM171"/>
      <c r="BN171"/>
      <c r="BO171"/>
      <c r="BP171"/>
    </row>
    <row r="172" spans="1:69" hidden="1" x14ac:dyDescent="0.35">
      <c r="A172" s="130">
        <v>1</v>
      </c>
      <c r="B172" s="131" t="str">
        <f>IF(Exploitation!B88="","non_renseigné",Exploitation!B88)</f>
        <v>non_renseigné</v>
      </c>
      <c r="C172" s="131" t="str">
        <f>IF(Exploitation!F88="","",Exploitation!F88)</f>
        <v/>
      </c>
      <c r="D172" s="131">
        <f>IF(Exploitation!D88="",0,Exploitation!D88)</f>
        <v>0</v>
      </c>
      <c r="E172" s="131">
        <f>IF(Exploitation!E88="",0,Exploitation!E88)</f>
        <v>0</v>
      </c>
      <c r="F172" s="160">
        <f>SUMIF($D$127:$D$146,$B172,$S$127:$S$146)+SUMIF($I$161:$I$165,$B172,$S$161:$S$165)+SUMIF($I$161:$I$165,$B172,$W$161:$W$165)+IF($E172&lt;&gt;0,$E172*$C$154,0)</f>
        <v>0</v>
      </c>
      <c r="G172" s="160">
        <f>SUMIF($E$127:$E$146,$B172,$O$127:$O$146)+SUMIF($H$161:$H$165,$B172,$T$161:$T$165)+SUMIF($H$161:$H$165,$B172,$X$161:$X$165)+IF($D172&lt;&gt;0,$D172*$E$154,0)</f>
        <v>0</v>
      </c>
      <c r="H172" s="160">
        <f>SUMIF($D$127:$D$146,$B172,$T$127:$T$146)+SUMIF($I$161:$I$165,$B172,$U$161:$U$165)+SUMIF($I$161:$I$165,$B172,$Y$161:$Y$165)+IF($E172&lt;&gt;0,$E172*$D$154,0)</f>
        <v>0</v>
      </c>
      <c r="I172" s="160">
        <f>SUMIF($E$127:$E$146,$B172,$P$127:$P$146)+SUMIF($H$161:$H$165,$B172,$V$161:$V$165)+SUMIF($H$161:$H$165,$B172,$Z$161:$Z$165)+IF($D172&lt;&gt;0,$D172*$F$154,0)</f>
        <v>0</v>
      </c>
      <c r="J172" s="160">
        <f>IF(ISERROR((I172-G172)*'Données d''entrée'!$C$404),"",(I172-G172)*'Données d''entrée'!$C$404)</f>
        <v>0</v>
      </c>
      <c r="K172" s="160">
        <f>F172</f>
        <v>0</v>
      </c>
      <c r="L172" s="160">
        <f>IF(ISERROR(G172+J172),"",G172+J172)</f>
        <v>0</v>
      </c>
      <c r="M172" s="119">
        <f>'Données d''entrée'!$D$355</f>
        <v>0.45</v>
      </c>
      <c r="N172" s="119">
        <f>'Données d''entrée'!$D$358</f>
        <v>0.14000000000000001</v>
      </c>
      <c r="O172" s="160">
        <f>IF(ISERROR(IF(C172='Données d''entrée'!$D$177,0,Emissions!K172*Emissions!M172)),"",IF(C172='Données d''entrée'!$D$177,0,Emissions!K172*Emissions!M172))</f>
        <v>0</v>
      </c>
      <c r="P172" s="160">
        <f>IF(ISERROR(IF(C172='Données d''entrée'!$D$177,0,Emissions!L172*Emissions!N172)),"",IF(C172='Données d''entrée'!$D$177,0,Emissions!L172*Emissions!N172))</f>
        <v>0</v>
      </c>
      <c r="Q172" s="166" t="str">
        <f>IF(ISERROR(VLOOKUP(C172,FA_stockage,2,FALSE)),"",VLOOKUP(C172,FA_stockage,2,FALSE))</f>
        <v/>
      </c>
      <c r="R172" s="160" t="str">
        <f>IF(ISERROR(O172*Q172),"",O172*Q172)</f>
        <v/>
      </c>
      <c r="S172" s="160" t="str">
        <f>IF(ISERROR(P172*Q172),"",P172*Q172)</f>
        <v/>
      </c>
      <c r="T172" s="160" t="str">
        <f>IF(ISERROR(R172+S172),"",R172+S172)</f>
        <v/>
      </c>
      <c r="U172" s="160">
        <f>SUMIF($D$127:$D$146,$B172,$AA$127:$AA$146)+SUMIF($I$161:$I$165,$B172,$AJ$161:$AJ$165)+SUMIF($I$161:$I$165,$B172,$AN$161:$AN$165)+IF($E172&lt;&gt;0,$E172*$G$154,0)</f>
        <v>0</v>
      </c>
      <c r="V172" s="160">
        <f>SUMIF($E$127:$E$146,$B172,$W$127:$W$146)+SUMIF($H$161:$H$165,$B172,$AK$161:$AK$165)+SUMIF($H$161:$H$165,$B172,$AO$161:$AO$165)+IF($D172&lt;&gt;0,$D172*$I$154,0)</f>
        <v>0</v>
      </c>
      <c r="W172" s="160">
        <f>SUMIF($D$127:$D$146,$B172,$AB$127:$AB$146)+SUMIF($I$161:$I$165,$B172,$AL$161:$AL$165)+SUMIF($I$161:$I$165,$B172,$AP$161:$AP$165)+IF($E172&lt;&gt;0,$E172*$H$154,0)</f>
        <v>0</v>
      </c>
      <c r="X172" s="160">
        <f>SUMIF($E$127:$E$146,$B172,$X$127:$X$146)+SUMIF($H$161:$H$165,$B172,$AM$161:$AM$165)+SUMIF($H$161:$H$165,$B172,$AQ$161:$AQ$165)+IF($D172&lt;&gt;0,$D172*$J$154,0)</f>
        <v>0</v>
      </c>
      <c r="Y172" s="160">
        <f>IF(ISERROR((X172-V172)*'Données d''entrée'!$C$404),"",(X172-V172)*'Données d''entrée'!$C$404)</f>
        <v>0</v>
      </c>
      <c r="Z172" s="160">
        <f>U172</f>
        <v>0</v>
      </c>
      <c r="AA172" s="160">
        <f>IF(ISERROR(V172+Y172),"",V172+Y172)</f>
        <v>0</v>
      </c>
      <c r="AB172" s="119">
        <f>'Données d''entrée'!$D$355</f>
        <v>0.45</v>
      </c>
      <c r="AC172" s="119">
        <f>'Données d''entrée'!$D$358</f>
        <v>0.14000000000000001</v>
      </c>
      <c r="AD172" s="160">
        <f>IF(ISERROR(IF(C172='Données d''entrée'!$D$177,0,Emissions!Z172*Emissions!AB172)),"",IF(C172='Données d''entrée'!$D$177,0,Emissions!Z172*Emissions!AB172))</f>
        <v>0</v>
      </c>
      <c r="AE172" s="160">
        <f>IF(ISERROR(IF(C172='Données d''entrée'!$D$177,0,Emissions!AA172*Emissions!AC172)),"",IF(C172='Données d''entrée'!$D$177,0,Emissions!AA172*Emissions!AC172))</f>
        <v>0</v>
      </c>
      <c r="AF172" s="166" t="str">
        <f>IF(ISERROR(VLOOKUP(C172,FA_stockage,2,FALSE)),"",VLOOKUP(C172,FA_stockage,2,FALSE))</f>
        <v/>
      </c>
      <c r="AG172" s="160" t="str">
        <f>IF(ISERROR(AD172*AF172),"",AD172*AF172)</f>
        <v/>
      </c>
      <c r="AH172" s="160" t="str">
        <f>IF(ISERROR(AE172*AF172),"",AE172*AF172)</f>
        <v/>
      </c>
      <c r="AI172" s="160" t="str">
        <f>IF(ISERROR(AG172+AH172),"",AG172+AH172)</f>
        <v/>
      </c>
      <c r="AQ172"/>
      <c r="AR172"/>
      <c r="AS172"/>
      <c r="AT172"/>
      <c r="AU172"/>
      <c r="AV172"/>
      <c r="AW172"/>
      <c r="AX172"/>
      <c r="AY172"/>
      <c r="AZ172"/>
      <c r="BA172"/>
      <c r="BB172"/>
      <c r="BC172"/>
      <c r="BD172"/>
      <c r="BE172"/>
      <c r="BF172"/>
      <c r="BG172"/>
      <c r="BH172"/>
      <c r="BI172"/>
      <c r="BJ172"/>
      <c r="BK172"/>
      <c r="BL172"/>
      <c r="BM172"/>
      <c r="BN172"/>
      <c r="BO172"/>
      <c r="BP172"/>
    </row>
    <row r="173" spans="1:69" hidden="1" x14ac:dyDescent="0.35">
      <c r="A173" s="130">
        <v>2</v>
      </c>
      <c r="B173" s="131" t="str">
        <f>IF(Exploitation!B89="","non_renseigné",Exploitation!B89)</f>
        <v>non_renseigné</v>
      </c>
      <c r="C173" s="131" t="str">
        <f>IF(Exploitation!F89="","",Exploitation!F89)</f>
        <v/>
      </c>
      <c r="D173" s="131">
        <f>IF(Exploitation!D89="",0,Exploitation!D89)</f>
        <v>0</v>
      </c>
      <c r="E173" s="131">
        <f>IF(Exploitation!E89="",0,Exploitation!E89)</f>
        <v>0</v>
      </c>
      <c r="F173" s="160">
        <f>SUMIF($D$127:$D$146,$B173,$S$127:$S$146)+SUMIF($I$161:$I$165,$B173,$S$161:$S$165)+SUMIF($I$161:$I$165,$B173,$W$161:$W$165)+IF($E173&lt;&gt;0,$E173*$C$154,0)</f>
        <v>0</v>
      </c>
      <c r="G173" s="160">
        <f>SUMIF($E$127:$E$146,$B173,$O$127:$O$146)+SUMIF($H$161:$H$165,$B173,$T$161:$T$165)+SUMIF($H$161:$H$165,$B173,$X$161:$X$165)+IF($D173&lt;&gt;0,$D173*$E$154,0)</f>
        <v>0</v>
      </c>
      <c r="H173" s="160">
        <f t="shared" ref="H173:H176" si="115">SUMIF($D$127:$D$146,$B173,$T$127:$T$146)+SUMIF($I$161:$I$165,$B173,$U$161:$U$165)+SUMIF($I$161:$I$165,$B173,$Y$161:$Y$165)+IF($E173&lt;&gt;0,$E173*$D$154,0)</f>
        <v>0</v>
      </c>
      <c r="I173" s="160">
        <f>SUMIF($E$127:$E$146,$B173,$P$127:$P$146)+SUMIF($H$161:$H$165,$B173,$V$161:$V$165)+SUMIF($H$161:$H$165,$B173,$Z$161:$Z$165)+IF($D173&lt;&gt;0,$D173*$F$154,0)</f>
        <v>0</v>
      </c>
      <c r="J173" s="160">
        <f>IF(ISERROR((I173-G173)*'Données d''entrée'!$C$404),"",(I173-G173)*'Données d''entrée'!$C$404)</f>
        <v>0</v>
      </c>
      <c r="K173" s="160">
        <f t="shared" ref="K173:K176" si="116">F173</f>
        <v>0</v>
      </c>
      <c r="L173" s="160">
        <f>IF(ISERROR(G173+J173),"",G173+J173)</f>
        <v>0</v>
      </c>
      <c r="M173" s="119">
        <f>'Données d''entrée'!$D$355</f>
        <v>0.45</v>
      </c>
      <c r="N173" s="119">
        <f>'Données d''entrée'!$D$358</f>
        <v>0.14000000000000001</v>
      </c>
      <c r="O173" s="160">
        <f>IF(ISERROR(IF(C173='Données d''entrée'!$D$177,0,Emissions!K173*Emissions!M173)),"",IF(C173='Données d''entrée'!$D$177,0,Emissions!K173*Emissions!M173))</f>
        <v>0</v>
      </c>
      <c r="P173" s="160">
        <f>IF(ISERROR(IF(C173='Données d''entrée'!$D$177,0,Emissions!L173*Emissions!N173)),"",IF(C173='Données d''entrée'!$D$177,0,Emissions!L173*Emissions!N173))</f>
        <v>0</v>
      </c>
      <c r="Q173" s="166" t="str">
        <f>IF(ISERROR(VLOOKUP(C173,FA_stockage,2,FALSE)),"",VLOOKUP(C173,FA_stockage,2,FALSE))</f>
        <v/>
      </c>
      <c r="R173" s="160" t="str">
        <f>IF(ISERROR(O173*Q173),"",O173*Q173)</f>
        <v/>
      </c>
      <c r="S173" s="160" t="str">
        <f>IF(ISERROR(P173*Q173),"",P173*Q173)</f>
        <v/>
      </c>
      <c r="T173" s="160" t="str">
        <f t="shared" ref="T173:T176" si="117">IF(ISERROR(R173+S173),"",R173+S173)</f>
        <v/>
      </c>
      <c r="U173" s="160">
        <f>SUMIF($D$127:$D$146,$B173,$AA$127:$AA$146)+SUMIF($I$161:$I$165,$B173,$AJ$161:$AJ$165)+SUMIF($I$161:$I$165,$B173,$AN$161:$AN$165)+IF($E173&lt;&gt;0,$E173*$G$154,0)</f>
        <v>0</v>
      </c>
      <c r="V173" s="160">
        <f>SUMIF($E$127:$E$146,$B173,$W$127:$W$146)+SUMIF($H$161:$H$165,$B173,$AK$161:$AK$165)+SUMIF($H$161:$H$165,$B173,$AO$161:$AO$165)+IF($D173&lt;&gt;0,$D173*$I$154,0)</f>
        <v>0</v>
      </c>
      <c r="W173" s="160">
        <f>SUMIF($D$127:$D$146,$B173,$AB$127:$AB$146)+SUMIF($I$161:$I$165,$B173,$AL$161:$AL$165)+SUMIF($I$161:$I$165,$B173,$AP$161:$AP$165)+IF($E173&lt;&gt;0,$E173*$H$154,0)</f>
        <v>0</v>
      </c>
      <c r="X173" s="160">
        <f>SUMIF($E$127:$E$146,$B173,$X$127:$X$146)+SUMIF($H$161:$H$165,$B173,$AM$161:$AM$165)+SUMIF($H$161:$H$165,$B173,$AQ$161:$AQ$165)+IF($D173&lt;&gt;0,$D173*$J$154,0)</f>
        <v>0</v>
      </c>
      <c r="Y173" s="160">
        <f>IF(ISERROR((X173-V173)*'Données d''entrée'!$C$404),"",(X173-V173)*'Données d''entrée'!$C$404)</f>
        <v>0</v>
      </c>
      <c r="Z173" s="160">
        <f t="shared" ref="Z173:Z176" si="118">U173</f>
        <v>0</v>
      </c>
      <c r="AA173" s="160">
        <f>IF(ISERROR(V173+Y173),"",V173+Y173)</f>
        <v>0</v>
      </c>
      <c r="AB173" s="119">
        <f>'Données d''entrée'!$D$355</f>
        <v>0.45</v>
      </c>
      <c r="AC173" s="119">
        <f>'Données d''entrée'!$D$358</f>
        <v>0.14000000000000001</v>
      </c>
      <c r="AD173" s="160">
        <f>IF(ISERROR(IF(C173='Données d''entrée'!$D$177,0,Emissions!Z173*Emissions!AB173)),"",IF(C173='Données d''entrée'!$D$177,0,Emissions!Z173*Emissions!AB173))</f>
        <v>0</v>
      </c>
      <c r="AE173" s="160">
        <f>IF(ISERROR(IF(C173='Données d''entrée'!$D$177,0,Emissions!AA173*Emissions!AC173)),"",IF(C173='Données d''entrée'!$D$177,0,Emissions!AA173*Emissions!AC173))</f>
        <v>0</v>
      </c>
      <c r="AF173" s="166" t="str">
        <f>IF(ISERROR(VLOOKUP(C173,FA_stockage,2,FALSE)),"",VLOOKUP(C173,FA_stockage,2,FALSE))</f>
        <v/>
      </c>
      <c r="AG173" s="160" t="str">
        <f t="shared" ref="AG173:AG176" si="119">IF(ISERROR(AD173*AF173),"",AD173*AF173)</f>
        <v/>
      </c>
      <c r="AH173" s="160" t="str">
        <f t="shared" ref="AH173:AH176" si="120">IF(ISERROR(AE173*AF173),"",AE173*AF173)</f>
        <v/>
      </c>
      <c r="AI173" s="160" t="str">
        <f t="shared" ref="AI173:AI176" si="121">IF(ISERROR(AG173+AH173),"",AG173+AH173)</f>
        <v/>
      </c>
      <c r="AQ173"/>
      <c r="AR173"/>
      <c r="AS173"/>
      <c r="AT173"/>
      <c r="AU173"/>
      <c r="AV173"/>
      <c r="AW173"/>
      <c r="AX173"/>
      <c r="AY173"/>
      <c r="AZ173"/>
      <c r="BA173"/>
      <c r="BB173"/>
      <c r="BC173"/>
      <c r="BD173"/>
      <c r="BE173"/>
      <c r="BF173"/>
      <c r="BG173"/>
      <c r="BH173"/>
      <c r="BI173"/>
      <c r="BJ173"/>
      <c r="BK173"/>
      <c r="BL173"/>
      <c r="BM173"/>
      <c r="BN173"/>
      <c r="BO173"/>
      <c r="BP173"/>
    </row>
    <row r="174" spans="1:69" hidden="1" x14ac:dyDescent="0.35">
      <c r="A174" s="130">
        <v>3</v>
      </c>
      <c r="B174" s="131" t="str">
        <f>IF(Exploitation!B90="","non_renseigné",Exploitation!B90)</f>
        <v>non_renseigné</v>
      </c>
      <c r="C174" s="131" t="str">
        <f>IF(Exploitation!F90="","",Exploitation!F90)</f>
        <v/>
      </c>
      <c r="D174" s="131">
        <f>IF(Exploitation!D90="",0,Exploitation!D90)</f>
        <v>0</v>
      </c>
      <c r="E174" s="131">
        <f>IF(Exploitation!E90="",0,Exploitation!E90)</f>
        <v>0</v>
      </c>
      <c r="F174" s="160">
        <f>SUMIF($D$127:$D$146,$B174,$S$127:$S$146)+SUMIF($I$161:$I$165,$B174,$S$161:$S$165)+SUMIF($I$161:$I$165,$B174,$W$161:$W$165)+IF($E174&lt;&gt;0,$E174*$C$154,0)</f>
        <v>0</v>
      </c>
      <c r="G174" s="160">
        <f>SUMIF($E$127:$E$146,$B174,$O$127:$O$146)+SUMIF($H$161:$H$165,$B174,$T$161:$T$165)+SUMIF($H$161:$H$165,$B174,$X$161:$X$165)+IF($D174&lt;&gt;0,$D174*$E$154,0)</f>
        <v>0</v>
      </c>
      <c r="H174" s="160">
        <f>SUMIF($D$127:$D$146,$B174,$T$127:$T$146)+SUMIF($I$161:$I$165,$B174,$U$161:$U$165)+SUMIF($I$161:$I$165,$B174,$Y$161:$Y$165)+IF($E174&lt;&gt;0,$E174*$D$154,0)</f>
        <v>0</v>
      </c>
      <c r="I174" s="160">
        <f>SUMIF($E$127:$E$146,$B174,$P$127:$P$146)+SUMIF($H$161:$H$165,$B174,$V$161:$V$165)+SUMIF($H$161:$H$165,$B174,$Z$161:$Z$165)+IF($D174&lt;&gt;0,$D174*$F$154,0)</f>
        <v>0</v>
      </c>
      <c r="J174" s="160">
        <f>IF(ISERROR((I174-G174)*'Données d''entrée'!$C$404),"",(I174-G174)*'Données d''entrée'!$C$404)</f>
        <v>0</v>
      </c>
      <c r="K174" s="160">
        <f t="shared" si="116"/>
        <v>0</v>
      </c>
      <c r="L174" s="160">
        <f>IF(ISERROR(G174+J174),"",G174+J174)</f>
        <v>0</v>
      </c>
      <c r="M174" s="119">
        <f>'Données d''entrée'!$D$355</f>
        <v>0.45</v>
      </c>
      <c r="N174" s="119">
        <f>'Données d''entrée'!$D$358</f>
        <v>0.14000000000000001</v>
      </c>
      <c r="O174" s="160">
        <f>IF(ISERROR(IF(C174='Données d''entrée'!$D$177,0,Emissions!K174*Emissions!M174)),"",IF(C174='Données d''entrée'!$D$177,0,Emissions!K174*Emissions!M174))</f>
        <v>0</v>
      </c>
      <c r="P174" s="160">
        <f>IF(ISERROR(IF(C174='Données d''entrée'!$D$177,0,Emissions!L174*Emissions!N174)),"",IF(C174='Données d''entrée'!$D$177,0,Emissions!L174*Emissions!N174))</f>
        <v>0</v>
      </c>
      <c r="Q174" s="166" t="str">
        <f>IF(ISERROR(VLOOKUP(C174,FA_stockage,2,FALSE)),"",VLOOKUP(C174,FA_stockage,2,FALSE))</f>
        <v/>
      </c>
      <c r="R174" s="160" t="str">
        <f t="shared" ref="R174:R176" si="122">IF(ISERROR(O174*Q174),"",O174*Q174)</f>
        <v/>
      </c>
      <c r="S174" s="160" t="str">
        <f t="shared" ref="S174:S176" si="123">IF(ISERROR(P174*Q174),"",P174*Q174)</f>
        <v/>
      </c>
      <c r="T174" s="160" t="str">
        <f t="shared" si="117"/>
        <v/>
      </c>
      <c r="U174" s="160">
        <f>SUMIF($D$127:$D$146,$B174,$AA$127:$AA$146)+SUMIF($I$161:$I$165,$B174,$AJ$161:$AJ$165)+SUMIF($I$161:$I$165,$B174,$AN$161:$AN$165)+IF($E174&lt;&gt;0,$E174*$G$154,0)</f>
        <v>0</v>
      </c>
      <c r="V174" s="160">
        <f>SUMIF($E$127:$E$146,$B174,$W$127:$W$146)+SUMIF($H$161:$H$165,$B174,$AK$161:$AK$165)+SUMIF($H$161:$H$165,$B174,$AO$161:$AO$165)+IF($D174&lt;&gt;0,$D174*$I$154,0)</f>
        <v>0</v>
      </c>
      <c r="W174" s="160">
        <f t="shared" ref="W174:W176" si="124">SUMIF($D$127:$D$146,$B174,$AB$127:$AB$146)+SUMIF($I$161:$I$165,$B174,$AL$161:$AL$165)+SUMIF($I$161:$I$165,$B174,$AP$161:$AP$165)+IF($E174&lt;&gt;0,$E174*$H$154,0)</f>
        <v>0</v>
      </c>
      <c r="X174" s="160">
        <f>SUMIF($E$127:$E$146,$B174,$X$127:$X$146)+SUMIF($H$161:$H$165,$B174,$AM$161:$AM$165)+SUMIF($H$161:$H$165,$B174,$AQ$161:$AQ$165)+IF($D174&lt;&gt;0,$D174*$J$154,0)</f>
        <v>0</v>
      </c>
      <c r="Y174" s="160">
        <f>IF(ISERROR((X174-V174)*'Données d''entrée'!$C$404),"",(X174-V174)*'Données d''entrée'!$C$404)</f>
        <v>0</v>
      </c>
      <c r="Z174" s="160">
        <f t="shared" si="118"/>
        <v>0</v>
      </c>
      <c r="AA174" s="160">
        <f>IF(ISERROR(V174+Y174),"",V174+Y174)</f>
        <v>0</v>
      </c>
      <c r="AB174" s="119">
        <f>'Données d''entrée'!$D$355</f>
        <v>0.45</v>
      </c>
      <c r="AC174" s="119">
        <f>'Données d''entrée'!$D$358</f>
        <v>0.14000000000000001</v>
      </c>
      <c r="AD174" s="160">
        <f>IF(ISERROR(IF(C174='Données d''entrée'!$D$177,0,Emissions!Z174*Emissions!AB174)),"",IF(C174='Données d''entrée'!$D$177,0,Emissions!Z174*Emissions!AB174))</f>
        <v>0</v>
      </c>
      <c r="AE174" s="160">
        <f>IF(ISERROR(IF(C174='Données d''entrée'!$D$177,0,Emissions!AA174*Emissions!AC174)),"",IF(C174='Données d''entrée'!$D$177,0,Emissions!AA174*Emissions!AC174))</f>
        <v>0</v>
      </c>
      <c r="AF174" s="166" t="str">
        <f>IF(ISERROR(VLOOKUP(C174,FA_stockage,2,FALSE)),"",VLOOKUP(C174,FA_stockage,2,FALSE))</f>
        <v/>
      </c>
      <c r="AG174" s="160" t="str">
        <f t="shared" si="119"/>
        <v/>
      </c>
      <c r="AH174" s="160" t="str">
        <f t="shared" si="120"/>
        <v/>
      </c>
      <c r="AI174" s="160" t="str">
        <f t="shared" si="121"/>
        <v/>
      </c>
      <c r="AQ174"/>
      <c r="AR174"/>
      <c r="AS174"/>
      <c r="AT174"/>
      <c r="AU174"/>
      <c r="AV174"/>
      <c r="AW174"/>
      <c r="AX174"/>
      <c r="AY174"/>
      <c r="AZ174"/>
      <c r="BA174"/>
      <c r="BB174"/>
      <c r="BC174"/>
      <c r="BD174"/>
      <c r="BE174"/>
      <c r="BF174"/>
      <c r="BG174"/>
      <c r="BH174"/>
      <c r="BI174"/>
      <c r="BJ174"/>
      <c r="BK174"/>
      <c r="BL174"/>
      <c r="BM174"/>
      <c r="BN174"/>
      <c r="BO174"/>
    </row>
    <row r="175" spans="1:69" hidden="1" x14ac:dyDescent="0.35">
      <c r="A175" s="130">
        <v>4</v>
      </c>
      <c r="B175" s="131" t="str">
        <f>IF(Exploitation!B91="","non_renseigné",Exploitation!B91)</f>
        <v>non_renseigné</v>
      </c>
      <c r="C175" s="131" t="str">
        <f>IF(Exploitation!F91="","",Exploitation!F91)</f>
        <v/>
      </c>
      <c r="D175" s="131">
        <f>IF(Exploitation!D91="",0,Exploitation!D91)</f>
        <v>0</v>
      </c>
      <c r="E175" s="131">
        <f>IF(Exploitation!E91="",0,Exploitation!E91)</f>
        <v>0</v>
      </c>
      <c r="F175" s="160">
        <f>SUMIF($D$127:$D$146,$B175,$S$127:$S$146)+SUMIF($I$161:$I$165,$B175,$S$161:$S$165)+SUMIF($I$161:$I$165,$B175,$W$161:$W$165)+IF($E175&lt;&gt;0,$E175*$C$154,0)</f>
        <v>0</v>
      </c>
      <c r="G175" s="160">
        <f>SUMIF($E$127:$E$146,$B175,$O$127:$O$146)+SUMIF($H$161:$H$165,$B175,$T$161:$T$165)+SUMIF($H$161:$H$165,$B175,$X$161:$X$165)+IF($D175&lt;&gt;0,$D175*$E$154,0)</f>
        <v>0</v>
      </c>
      <c r="H175" s="160">
        <f t="shared" si="115"/>
        <v>0</v>
      </c>
      <c r="I175" s="160">
        <f>SUMIF($E$127:$E$146,$B175,$P$127:$P$146)+SUMIF($H$161:$H$165,$B175,$V$161:$V$165)+SUMIF($H$161:$H$165,$B175,$Z$161:$Z$165)+IF($D175&lt;&gt;0,$D175*$F$154,0)</f>
        <v>0</v>
      </c>
      <c r="J175" s="160">
        <f>IF(ISERROR((I175-G175)*'Données d''entrée'!$C$404),"",(I175-G175)*'Données d''entrée'!$C$404)</f>
        <v>0</v>
      </c>
      <c r="K175" s="160">
        <f t="shared" si="116"/>
        <v>0</v>
      </c>
      <c r="L175" s="160">
        <f>IF(ISERROR(G175+J175),"",G175+J175)</f>
        <v>0</v>
      </c>
      <c r="M175" s="119">
        <f>'Données d''entrée'!$D$355</f>
        <v>0.45</v>
      </c>
      <c r="N175" s="119">
        <f>'Données d''entrée'!$D$358</f>
        <v>0.14000000000000001</v>
      </c>
      <c r="O175" s="160">
        <f>IF(ISERROR(IF(C175='Données d''entrée'!$D$177,0,Emissions!K175*Emissions!M175)),"",IF(C175='Données d''entrée'!$D$177,0,Emissions!K175*Emissions!M175))</f>
        <v>0</v>
      </c>
      <c r="P175" s="160">
        <f>IF(ISERROR(IF(C175='Données d''entrée'!$D$177,0,Emissions!L175*Emissions!N175)),"",IF(C175='Données d''entrée'!$D$177,0,Emissions!L175*Emissions!N175))</f>
        <v>0</v>
      </c>
      <c r="Q175" s="166" t="str">
        <f>IF(ISERROR(VLOOKUP(C175,FA_stockage,2,FALSE)),"",VLOOKUP(C175,FA_stockage,2,FALSE))</f>
        <v/>
      </c>
      <c r="R175" s="160" t="str">
        <f t="shared" si="122"/>
        <v/>
      </c>
      <c r="S175" s="160" t="str">
        <f t="shared" si="123"/>
        <v/>
      </c>
      <c r="T175" s="160" t="str">
        <f t="shared" si="117"/>
        <v/>
      </c>
      <c r="U175" s="160">
        <f>SUMIF($D$127:$D$146,$B175,$AA$127:$AA$146)+SUMIF($I$161:$I$165,$B175,$AJ$161:$AJ$165)+SUMIF($I$161:$I$165,$B175,$AN$161:$AN$165)+IF($E175&lt;&gt;0,$E175*$G$154,0)</f>
        <v>0</v>
      </c>
      <c r="V175" s="160">
        <f>SUMIF($E$127:$E$146,$B175,$W$127:$W$146)+SUMIF($H$161:$H$165,$B175,$AK$161:$AK$165)+SUMIF($H$161:$H$165,$B175,$AO$161:$AO$165)+IF($D175&lt;&gt;0,$D175*$I$154,0)</f>
        <v>0</v>
      </c>
      <c r="W175" s="160">
        <f t="shared" si="124"/>
        <v>0</v>
      </c>
      <c r="X175" s="160">
        <f>SUMIF($E$127:$E$146,$B175,$X$127:$X$146)+SUMIF($H$161:$H$165,$B175,$AM$161:$AM$165)+SUMIF($H$161:$H$165,$B175,$AQ$161:$AQ$165)+IF($D175&lt;&gt;0,$D175*$J$154,0)</f>
        <v>0</v>
      </c>
      <c r="Y175" s="160">
        <f>IF(ISERROR((X175-V175)*'Données d''entrée'!$C$404),"",(X175-V175)*'Données d''entrée'!$C$404)</f>
        <v>0</v>
      </c>
      <c r="Z175" s="160">
        <f t="shared" si="118"/>
        <v>0</v>
      </c>
      <c r="AA175" s="160">
        <f>IF(ISERROR(V175+Y175),"",V175+Y175)</f>
        <v>0</v>
      </c>
      <c r="AB175" s="119">
        <f>'Données d''entrée'!$D$355</f>
        <v>0.45</v>
      </c>
      <c r="AC175" s="119">
        <f>'Données d''entrée'!$D$358</f>
        <v>0.14000000000000001</v>
      </c>
      <c r="AD175" s="160">
        <f>IF(ISERROR(IF(C175='Données d''entrée'!$D$177,0,Emissions!Z175*Emissions!AB175)),"",IF(C175='Données d''entrée'!$D$177,0,Emissions!Z175*Emissions!AB175))</f>
        <v>0</v>
      </c>
      <c r="AE175" s="160">
        <f>IF(ISERROR(IF(C175='Données d''entrée'!$D$177,0,Emissions!AA175*Emissions!AC175)),"",IF(C175='Données d''entrée'!$D$177,0,Emissions!AA175*Emissions!AC175))</f>
        <v>0</v>
      </c>
      <c r="AF175" s="166" t="str">
        <f>IF(ISERROR(VLOOKUP(C175,FA_stockage,2,FALSE)),"",VLOOKUP(C175,FA_stockage,2,FALSE))</f>
        <v/>
      </c>
      <c r="AG175" s="160" t="str">
        <f t="shared" si="119"/>
        <v/>
      </c>
      <c r="AH175" s="160" t="str">
        <f t="shared" si="120"/>
        <v/>
      </c>
      <c r="AI175" s="160" t="str">
        <f t="shared" si="121"/>
        <v/>
      </c>
      <c r="AQ175"/>
      <c r="AR175"/>
      <c r="AS175"/>
      <c r="AT175"/>
      <c r="AU175"/>
      <c r="AV175"/>
      <c r="AW175"/>
      <c r="AX175"/>
      <c r="AY175"/>
      <c r="AZ175"/>
      <c r="BA175"/>
      <c r="BB175"/>
      <c r="BC175"/>
      <c r="BD175"/>
      <c r="BE175"/>
      <c r="BF175"/>
      <c r="BG175"/>
      <c r="BH175"/>
      <c r="BI175"/>
      <c r="BJ175"/>
      <c r="BK175"/>
      <c r="BL175"/>
      <c r="BM175"/>
      <c r="BN175"/>
      <c r="BO175"/>
    </row>
    <row r="176" spans="1:69" hidden="1" x14ac:dyDescent="0.35">
      <c r="A176" s="130">
        <v>5</v>
      </c>
      <c r="B176" s="131" t="str">
        <f>IF(Exploitation!B92="","non_renseigné",Exploitation!B92)</f>
        <v>non_renseigné</v>
      </c>
      <c r="C176" s="131" t="str">
        <f>IF(Exploitation!F92="","",Exploitation!F92)</f>
        <v/>
      </c>
      <c r="D176" s="131">
        <f>IF(Exploitation!D92="",0,Exploitation!D92)</f>
        <v>0</v>
      </c>
      <c r="E176" s="131">
        <f>IF(Exploitation!E92="",0,Exploitation!E92)</f>
        <v>0</v>
      </c>
      <c r="F176" s="160">
        <f>SUMIF($D$127:$D$146,$B176,$S$127:$S$146)+SUMIF($I$161:$I$165,$B176,$S$161:$S$165)+SUMIF($I$161:$I$165,$B176,$W$161:$W$165)+IF($E176&lt;&gt;0,$E176*$C$154,0)</f>
        <v>0</v>
      </c>
      <c r="G176" s="160">
        <f>SUMIF($E$127:$E$146,$B176,$O$127:$O$146)+SUMIF($H$161:$H$165,$B176,$T$161:$T$165)+SUMIF($H$161:$H$165,$B176,$X$161:$X$165)+IF($D176&lt;&gt;0,$D176*$E$154,0)</f>
        <v>0</v>
      </c>
      <c r="H176" s="160">
        <f t="shared" si="115"/>
        <v>0</v>
      </c>
      <c r="I176" s="160">
        <f>SUMIF($E$127:$E$146,$B176,$P$127:$P$146)+SUMIF($H$161:$H$165,$B176,$V$161:$V$165)+SUMIF($H$161:$H$165,$B176,$Z$161:$Z$165)+IF($D176&lt;&gt;0,$D176*$F$154,0)</f>
        <v>0</v>
      </c>
      <c r="J176" s="160">
        <f>IF(ISERROR((I176-G176)*'Données d''entrée'!$C$404),"",(I176-G176)*'Données d''entrée'!$C$404)</f>
        <v>0</v>
      </c>
      <c r="K176" s="160">
        <f t="shared" si="116"/>
        <v>0</v>
      </c>
      <c r="L176" s="160">
        <f>IF(ISERROR(G176+J176),"",G176+J176)</f>
        <v>0</v>
      </c>
      <c r="M176" s="119">
        <f>'Données d''entrée'!$D$355</f>
        <v>0.45</v>
      </c>
      <c r="N176" s="119">
        <f>'Données d''entrée'!$D$358</f>
        <v>0.14000000000000001</v>
      </c>
      <c r="O176" s="160">
        <f>IF(ISERROR(IF(C176='Données d''entrée'!$D$177,0,Emissions!K176*Emissions!M176)),"",IF(C176='Données d''entrée'!$D$177,0,Emissions!K176*Emissions!M176))</f>
        <v>0</v>
      </c>
      <c r="P176" s="160">
        <f>IF(ISERROR(IF(C176='Données d''entrée'!$D$177,0,Emissions!L176*Emissions!N176)),"",IF(C176='Données d''entrée'!$D$177,0,Emissions!L176*Emissions!N176))</f>
        <v>0</v>
      </c>
      <c r="Q176" s="166" t="str">
        <f>IF(ISERROR(VLOOKUP(C176,FA_stockage,2,FALSE)),"",VLOOKUP(C176,FA_stockage,2,FALSE))</f>
        <v/>
      </c>
      <c r="R176" s="160" t="str">
        <f t="shared" si="122"/>
        <v/>
      </c>
      <c r="S176" s="160" t="str">
        <f t="shared" si="123"/>
        <v/>
      </c>
      <c r="T176" s="160" t="str">
        <f t="shared" si="117"/>
        <v/>
      </c>
      <c r="U176" s="160">
        <f>SUMIF($D$127:$D$146,$B176,$AA$127:$AA$146)+SUMIF($I$161:$I$165,$B176,$AJ$161:$AJ$165)+SUMIF($I$161:$I$165,$B176,$AN$161:$AN$165)+IF($E176&lt;&gt;0,$E176*$G$154,0)</f>
        <v>0</v>
      </c>
      <c r="V176" s="160">
        <f>SUMIF($E$127:$E$146,$B176,$W$127:$W$146)+SUMIF($H$161:$H$165,$B176,$AK$161:$AK$165)+SUMIF($H$161:$H$165,$B176,$AO$161:$AO$165)+IF($D176&lt;&gt;0,$D176*$I$154,0)</f>
        <v>0</v>
      </c>
      <c r="W176" s="160">
        <f t="shared" si="124"/>
        <v>0</v>
      </c>
      <c r="X176" s="160">
        <f>SUMIF($E$127:$E$146,$B176,$X$127:$X$146)+SUMIF($H$161:$H$165,$B176,$AM$161:$AM$165)+SUMIF($H$161:$H$165,$B176,$AQ$161:$AQ$165)+IF($D176&lt;&gt;0,$D176*$J$154,0)</f>
        <v>0</v>
      </c>
      <c r="Y176" s="160">
        <f>IF(ISERROR((X176-V176)*'Données d''entrée'!$C$404),"",(X176-V176)*'Données d''entrée'!$C$404)</f>
        <v>0</v>
      </c>
      <c r="Z176" s="160">
        <f t="shared" si="118"/>
        <v>0</v>
      </c>
      <c r="AA176" s="160">
        <f>IF(ISERROR(V176+Y176),"",V176+Y176)</f>
        <v>0</v>
      </c>
      <c r="AB176" s="119">
        <f>'Données d''entrée'!$D$355</f>
        <v>0.45</v>
      </c>
      <c r="AC176" s="119">
        <f>'Données d''entrée'!$D$358</f>
        <v>0.14000000000000001</v>
      </c>
      <c r="AD176" s="160">
        <f>IF(ISERROR(IF(C176='Données d''entrée'!$D$177,0,Emissions!Z176*Emissions!AB176)),"",IF(C176='Données d''entrée'!$D$177,0,Emissions!Z176*Emissions!AB176))</f>
        <v>0</v>
      </c>
      <c r="AE176" s="160">
        <f>IF(ISERROR(IF(C176='Données d''entrée'!$D$177,0,Emissions!AA176*Emissions!AC176)),"",IF(C176='Données d''entrée'!$D$177,0,Emissions!AA176*Emissions!AC176))</f>
        <v>0</v>
      </c>
      <c r="AF176" s="166" t="str">
        <f>IF(ISERROR(VLOOKUP(C176,FA_stockage,2,FALSE)),"",VLOOKUP(C176,FA_stockage,2,FALSE))</f>
        <v/>
      </c>
      <c r="AG176" s="160" t="str">
        <f t="shared" si="119"/>
        <v/>
      </c>
      <c r="AH176" s="160" t="str">
        <f t="shared" si="120"/>
        <v/>
      </c>
      <c r="AI176" s="160" t="str">
        <f t="shared" si="121"/>
        <v/>
      </c>
      <c r="AQ176"/>
      <c r="AR176"/>
      <c r="AS176"/>
      <c r="AT176"/>
      <c r="AU176"/>
      <c r="AV176"/>
      <c r="AW176"/>
      <c r="AX176"/>
      <c r="AY176"/>
      <c r="AZ176"/>
      <c r="BA176"/>
      <c r="BB176"/>
      <c r="BC176"/>
      <c r="BD176"/>
      <c r="BE176"/>
      <c r="BF176"/>
      <c r="BG176"/>
      <c r="BH176"/>
      <c r="BI176"/>
      <c r="BJ176"/>
      <c r="BK176"/>
      <c r="BL176"/>
      <c r="BM176"/>
      <c r="BN176"/>
      <c r="BO176"/>
    </row>
    <row r="177" spans="1:47" hidden="1" x14ac:dyDescent="0.35">
      <c r="AO177"/>
      <c r="AP177"/>
      <c r="AQ177"/>
      <c r="AR177"/>
      <c r="AS177"/>
      <c r="AT177"/>
      <c r="AU177"/>
    </row>
    <row r="178" spans="1:47" hidden="1" x14ac:dyDescent="0.35">
      <c r="A178" s="12"/>
      <c r="B178" s="12"/>
      <c r="T178" s="12"/>
    </row>
    <row r="179" spans="1:47" customFormat="1" hidden="1" x14ac:dyDescent="0.35">
      <c r="A179" s="51"/>
      <c r="B179" s="315" t="s">
        <v>650</v>
      </c>
    </row>
    <row r="180" spans="1:47" s="12" customFormat="1" ht="15" hidden="1" customHeight="1" x14ac:dyDescent="0.35">
      <c r="A180" s="51"/>
      <c r="B180" s="127"/>
      <c r="H180" s="517" t="s">
        <v>493</v>
      </c>
      <c r="I180" s="518"/>
      <c r="J180" s="518"/>
      <c r="K180" s="518"/>
      <c r="L180" s="518"/>
      <c r="M180" s="518"/>
      <c r="N180" s="518"/>
      <c r="O180" s="518"/>
      <c r="P180" s="519"/>
      <c r="Q180" s="517" t="s">
        <v>205</v>
      </c>
      <c r="R180" s="518"/>
      <c r="S180" s="518"/>
      <c r="T180" s="518"/>
      <c r="U180" s="518"/>
      <c r="V180" s="518"/>
      <c r="W180" s="518"/>
      <c r="X180" s="518"/>
      <c r="Y180" s="519"/>
    </row>
    <row r="181" spans="1:47" customFormat="1" ht="14.5" hidden="1" customHeight="1" x14ac:dyDescent="0.35">
      <c r="A181" s="51"/>
      <c r="B181" s="127"/>
      <c r="C181" s="51"/>
      <c r="D181" s="51"/>
      <c r="E181" s="51"/>
      <c r="F181" s="51"/>
      <c r="G181" s="51"/>
      <c r="H181" s="536" t="s">
        <v>604</v>
      </c>
      <c r="I181" s="537"/>
      <c r="J181" s="536" t="s">
        <v>605</v>
      </c>
      <c r="K181" s="537"/>
      <c r="L181" s="542" t="s">
        <v>606</v>
      </c>
      <c r="M181" s="542" t="s">
        <v>607</v>
      </c>
      <c r="N181" s="542" t="s">
        <v>608</v>
      </c>
      <c r="O181" s="542" t="s">
        <v>609</v>
      </c>
      <c r="P181" s="542" t="s">
        <v>610</v>
      </c>
      <c r="Q181" s="536" t="s">
        <v>604</v>
      </c>
      <c r="R181" s="537"/>
      <c r="S181" s="536" t="s">
        <v>605</v>
      </c>
      <c r="T181" s="537"/>
      <c r="U181" s="542" t="s">
        <v>606</v>
      </c>
      <c r="V181" s="542" t="s">
        <v>607</v>
      </c>
      <c r="W181" s="542" t="s">
        <v>608</v>
      </c>
      <c r="X181" s="542" t="s">
        <v>609</v>
      </c>
      <c r="Y181" s="542" t="s">
        <v>610</v>
      </c>
    </row>
    <row r="182" spans="1:47" customFormat="1" ht="45" hidden="1" customHeight="1" x14ac:dyDescent="0.35">
      <c r="A182" s="51"/>
      <c r="B182" s="112" t="s">
        <v>396</v>
      </c>
      <c r="C182" s="112" t="s">
        <v>579</v>
      </c>
      <c r="D182" s="112" t="s">
        <v>578</v>
      </c>
      <c r="E182" s="112" t="s">
        <v>393</v>
      </c>
      <c r="F182" s="112" t="s">
        <v>611</v>
      </c>
      <c r="G182" s="112" t="s">
        <v>612</v>
      </c>
      <c r="H182" s="112" t="s">
        <v>290</v>
      </c>
      <c r="I182" s="112" t="s">
        <v>288</v>
      </c>
      <c r="J182" s="112" t="s">
        <v>290</v>
      </c>
      <c r="K182" s="112" t="s">
        <v>288</v>
      </c>
      <c r="L182" s="543"/>
      <c r="M182" s="543"/>
      <c r="N182" s="543"/>
      <c r="O182" s="543"/>
      <c r="P182" s="543"/>
      <c r="Q182" s="112" t="s">
        <v>290</v>
      </c>
      <c r="R182" s="112" t="s">
        <v>288</v>
      </c>
      <c r="S182" s="112" t="s">
        <v>290</v>
      </c>
      <c r="T182" s="112" t="s">
        <v>288</v>
      </c>
      <c r="U182" s="543"/>
      <c r="V182" s="543"/>
      <c r="W182" s="543"/>
      <c r="X182" s="543"/>
      <c r="Y182" s="543"/>
    </row>
    <row r="183" spans="1:47" customFormat="1" hidden="1" x14ac:dyDescent="0.35">
      <c r="A183" s="130">
        <v>1</v>
      </c>
      <c r="B183" s="131" t="str">
        <f>IF(Exploitation!B80="","non_renseigné",Exploitation!B80)</f>
        <v>non_renseigné</v>
      </c>
      <c r="C183" s="311">
        <f>IF(Exploitation!D80="",0,Exploitation!D80)</f>
        <v>0</v>
      </c>
      <c r="D183" s="312">
        <f>IF(Exploitation!E80="",0,Exploitation!E80)</f>
        <v>0</v>
      </c>
      <c r="E183" s="312">
        <f>IF(Exploitation!F80="",0,Exploitation!F80)</f>
        <v>0</v>
      </c>
      <c r="F183" s="312" t="str">
        <f>H161</f>
        <v/>
      </c>
      <c r="G183" s="312" t="str">
        <f>I161</f>
        <v/>
      </c>
      <c r="H183" s="313">
        <f>IF(ISERROR(((SUMIF($D$127:$D$146,$B183,$N$127:$N$146)+SUMIF($D$127:$D$146,$B183,$AB$100:$AB$119)+SUMIF($D$127:$D$146,$B183,$P$127:$P$146))*SUMIF($D$127:$D$146,$B183,$N$127:$N$146)/(SUMIF($D$127:$D$146,$B183,$N$127:$N$146)+SUMIF($D$127:$D$146,$B183,$P$127:$P$146)))),0,(SUMIF($D$127:$D$146,$B183,$N$127:$N$146)+SUMIF($D$127:$D$146,$B183,$AB$100:$AB$119)+SUMIF($D$127:$D$146,$B183,$P$127:$P$146))*SUMIF($D$127:$D$146,$B183,$N$127:$N$146)/(SUMIF($D$127:$D$146,$B183,$N$127:$N$146)+SUMIF($D$127:$D$146,$B183,$P$127:$P$146)))</f>
        <v>0</v>
      </c>
      <c r="I183" s="313">
        <f>IF(ISERROR((SUMIF($E$127:$E$146,$B183,$N$127:$N$146)+SUMIF($E$127:$E$146,$B183,$AB$100:$AB$119)+SUMIF($E$127:$E$146,$B183,$P$127:$P$146))*SUMIF($E$127:$E$146,$B183,$P$127:$P$146)/(SUMIF($E$127:$E$146,$B183,$N$127:$N$146)+SUMIF($E$127:$E$146,$B183,$P$127:$P$146))),0,(SUMIF($E$127:$E$146,$B183,$N$127:$N$146)+SUMIF($E$127:$E$146,$B183,$AB$100:$AB$119)+SUMIF($E$127:$E$146,$B183,$P$127:$P$146))*SUMIF($E$127:$E$146,$B183,$P$127:$P$146)/(SUMIF($E$127:$E$146,$B183,$N$127:$N$146)+SUMIF($E$127:$E$146,$B183,$P$127:$P$146)))</f>
        <v>0</v>
      </c>
      <c r="J183" s="313">
        <f>D183*$L$154</f>
        <v>0</v>
      </c>
      <c r="K183" s="313">
        <f>C183*$M$154</f>
        <v>0</v>
      </c>
      <c r="L183" s="313">
        <f>IF(ISERROR(IF(SEARCH("comp",E183),SUM(H183:K183),0)),0,IF(SEARCH("comp",E183),SUM(H183:K183),0))</f>
        <v>0</v>
      </c>
      <c r="M183" s="314">
        <f>'Données d''entrée'!$C$587</f>
        <v>6.0000000000000001E-3</v>
      </c>
      <c r="N183" s="310">
        <f>L183*M183</f>
        <v>0</v>
      </c>
      <c r="O183" s="313">
        <f>SUM(H183:K183)-P183-L183</f>
        <v>0</v>
      </c>
      <c r="P183" s="313">
        <f>IF(ISERROR(SUM(H183:K183)*VLOOKUP(E183,'Données d''entrée'!$B$378:$H$385,7,FALSE)),0,SUM(H183:K183)*VLOOKUP(E183,'Données d''entrée'!$B$378:$H$385,7,FALSE))</f>
        <v>0</v>
      </c>
      <c r="Q183" s="313">
        <f>IF(ISERROR(((SUMIF($D$127:$D$146,$B183,$V$127:$V$146)+SUMIF($D$127:$D$146,$B183,$AC$100:$AC$119)+SUMIF($D$127:$D$146,$B183,$X$127:$X$146))*SUMIF($D$127:$D$146,$B183,$V$127:$V$146)/(SUMIF($D$127:$D$146,$B183,$V$127:$V$146)+SUMIF($D$127:$D$146,$B183,$X$127:$X$146)))),0,(SUMIF($D$127:$D$146,$B183,$V$127:$V$146)+SUMIF($D$127:$D$146,$B183,$AC$100:$AC$119)+SUMIF($D$127:$D$146,$B183,$X$127:$X$146))*SUMIF($D$127:$D$146,$B183,$V$127:$V$146)/(SUMIF($D$127:$D$146,$B183,$V$127:$V$146)+SUMIF($D$127:$D$146,$B183,$X$127:$X$146)))</f>
        <v>0</v>
      </c>
      <c r="R183" s="313">
        <f>IF(ISERROR(((SUMIF($E$127:$E$146,$B183,$V$127:$V$146)+SUMIF($E$127:$E$146,$B183,$AC$100:$AC$119)+SUMIF($E$127:$E$146,$B183,$X$127:$X$146))*SUMIF($E$127:$E$146,$B183,$X$127:$X$146)/(SUMIF($E$127:$E$146,$B183,$V$127:$V$146)+SUMIF($E$127:$E$146,$B183,$X$127:$X$146)))),0,(SUMIF($E$127:$E$146,$B183,$V$127:$V$146)+SUMIF($E$127:$E$146,$B183,$AC$100:$AC$119)+SUMIF($E$127:$E$146,$B183,$X$127:$X$146))*SUMIF($E$127:$E$146,$B183,$X$127:$X$146)/(SUMIF($E$127:$E$146,$B183,$V$127:$V$146)+SUMIF($E$127:$E$146,$B183,$X$127:$X$146)))</f>
        <v>0</v>
      </c>
      <c r="S183" s="313">
        <f>D183*$N$154</f>
        <v>0</v>
      </c>
      <c r="T183" s="313">
        <f>C183*$O$154</f>
        <v>0</v>
      </c>
      <c r="U183" s="313">
        <f>IF(ISERROR(IF(SEARCH("comp",E183),SUM(Q183:T183),0)),0,IF(SEARCH("comp",E183),SUM(Q183:T183),0))</f>
        <v>0</v>
      </c>
      <c r="V183" s="314">
        <f>'Données d''entrée'!$C$587</f>
        <v>6.0000000000000001E-3</v>
      </c>
      <c r="W183" s="310">
        <f>U183*V183</f>
        <v>0</v>
      </c>
      <c r="X183" s="313">
        <f>SUM(Q183:T183)-Y183-U183</f>
        <v>0</v>
      </c>
      <c r="Y183" s="313">
        <f>IF(ISERROR(SUM(Q183:T183)*VLOOKUP(E183,'Données d''entrée'!$B$378:$H$385,7,FALSE)),0,SUM(Q183:T183)*VLOOKUP(E183,'Données d''entrée'!$B$378:$H$385,7,FALSE))</f>
        <v>0</v>
      </c>
    </row>
    <row r="184" spans="1:47" customFormat="1" hidden="1" x14ac:dyDescent="0.35">
      <c r="A184" s="130">
        <v>2</v>
      </c>
      <c r="B184" s="131" t="str">
        <f>IF(Exploitation!B81="","non_renseigné",Exploitation!B81)</f>
        <v>non_renseigné</v>
      </c>
      <c r="C184" s="311">
        <f>IF(Exploitation!D81="",0,Exploitation!D81)</f>
        <v>0</v>
      </c>
      <c r="D184" s="312">
        <f>IF(Exploitation!E81="",0,Exploitation!E81)</f>
        <v>0</v>
      </c>
      <c r="E184" s="312">
        <f>IF(Exploitation!F81="",0,Exploitation!F81)</f>
        <v>0</v>
      </c>
      <c r="F184" s="312" t="str">
        <f t="shared" ref="F184:G187" si="125">H162</f>
        <v/>
      </c>
      <c r="G184" s="312" t="str">
        <f t="shared" si="125"/>
        <v/>
      </c>
      <c r="H184" s="313">
        <f t="shared" ref="H184:H187" si="126">IF(ISERROR(((SUMIF($D$127:$D$146,$B184,$N$127:$N$146)+SUMIF($D$127:$D$146,$B184,$AB$100:$AB$119)+SUMIF($D$127:$D$146,$B184,$P$127:$P$146))*SUMIF($D$127:$D$146,$B184,$N$127:$N$146)/(SUMIF($D$127:$D$146,$B184,$N$127:$N$146)+SUMIF($D$127:$D$146,$B184,$P$127:$P$146)))),0,(SUMIF($D$127:$D$146,$B184,$N$127:$N$146)+SUMIF($D$127:$D$146,$B184,$AB$100:$AB$119)+SUMIF($D$127:$D$146,$B184,$P$127:$P$146))*SUMIF($D$127:$D$146,$B184,$N$127:$N$146)/(SUMIF($D$127:$D$146,$B184,$N$127:$N$146)+SUMIF($D$127:$D$146,$B184,$P$127:$P$146)))</f>
        <v>0</v>
      </c>
      <c r="I184" s="313">
        <f t="shared" ref="I184:I187" si="127">IF(ISERROR((SUMIF($E$127:$E$146,$B184,$N$127:$N$146)+SUMIF($E$127:$E$146,$B184,$AB$100:$AB$119)+SUMIF($E$127:$E$146,$B184,$P$127:$P$146))*SUMIF($E$127:$E$146,$B184,$P$127:$P$146)/(SUMIF($E$127:$E$146,$B184,$N$127:$N$146)+SUMIF($E$127:$E$146,$B184,$P$127:$P$146))),0,(SUMIF($E$127:$E$146,$B184,$N$127:$N$146)+SUMIF($E$127:$E$146,$B184,$AB$100:$AB$119)+SUMIF($E$127:$E$146,$B184,$P$127:$P$146))*SUMIF($E$127:$E$146,$B184,$P$127:$P$146)/(SUMIF($E$127:$E$146,$B184,$N$127:$N$146)+SUMIF($E$127:$E$146,$B184,$P$127:$P$146)))</f>
        <v>0</v>
      </c>
      <c r="J184" s="313">
        <f t="shared" ref="J184:J187" si="128">D184*$L$154</f>
        <v>0</v>
      </c>
      <c r="K184" s="313">
        <f t="shared" ref="K184:K187" si="129">C184*$M$154</f>
        <v>0</v>
      </c>
      <c r="L184" s="313">
        <f>IF(ISERROR(IF(SEARCH("comp",E184),SUM(H184:K184),0)),0,IF(SEARCH("comp",E184),SUM(H184:K184),0))</f>
        <v>0</v>
      </c>
      <c r="M184" s="314">
        <f>'Données d''entrée'!$C$587</f>
        <v>6.0000000000000001E-3</v>
      </c>
      <c r="N184" s="310">
        <f t="shared" ref="N184:N187" si="130">L184*M184</f>
        <v>0</v>
      </c>
      <c r="O184" s="313">
        <f t="shared" ref="O184:O187" si="131">SUM(H184:K184)-P184-L184</f>
        <v>0</v>
      </c>
      <c r="P184" s="313">
        <f>IF(ISERROR(SUM(H184:K184)*VLOOKUP(E184,'Données d''entrée'!$B$378:$H$385,7,FALSE)),0,SUM(H184:K184)*VLOOKUP(E184,'Données d''entrée'!$B$378:$H$385,7,FALSE))</f>
        <v>0</v>
      </c>
      <c r="Q184" s="313">
        <f t="shared" ref="Q184:Q187" si="132">IF(ISERROR(((SUMIF($D$127:$D$146,$B184,$V$127:$V$146)+SUMIF($D$127:$D$146,$B184,$AC$100:$AC$119)+SUMIF($D$127:$D$146,$B184,$X$127:$X$146))*SUMIF($D$127:$D$146,$B184,$V$127:$V$146)/(SUMIF($D$127:$D$146,$B184,$V$127:$V$146)+SUMIF($D$127:$D$146,$B184,$X$127:$X$146)))),0,(SUMIF($D$127:$D$146,$B184,$V$127:$V$146)+SUMIF($D$127:$D$146,$B184,$AC$100:$AC$119)+SUMIF($D$127:$D$146,$B184,$X$127:$X$146))*SUMIF($D$127:$D$146,$B184,$V$127:$V$146)/(SUMIF($D$127:$D$146,$B184,$V$127:$V$146)+SUMIF($D$127:$D$146,$B184,$X$127:$X$146)))</f>
        <v>0</v>
      </c>
      <c r="R184" s="313">
        <f t="shared" ref="R184:R186" si="133">IF(ISERROR(((SUMIF($E$127:$E$146,$B184,$V$127:$V$146)+SUMIF($E$127:$E$146,$B184,$AC$100:$AC$119)+SUMIF($E$127:$E$146,$B184,$X$127:$X$146))*SUMIF($E$127:$E$146,$B184,$X$127:$X$146)/(SUMIF($E$127:$E$146,$B184,$V$127:$V$146)+SUMIF($E$127:$E$146,$B184,$X$127:$X$146)))),0,(SUMIF($E$127:$E$146,$B184,$V$127:$V$146)+SUMIF($E$127:$E$146,$B184,$AC$100:$AC$119)+SUMIF($E$127:$E$146,$B184,$X$127:$X$146))*SUMIF($E$127:$E$146,$B184,$X$127:$X$146)/(SUMIF($E$127:$E$146,$B184,$V$127:$V$146)+SUMIF($E$127:$E$146,$B184,$X$127:$X$146)))</f>
        <v>0</v>
      </c>
      <c r="S184" s="313">
        <f t="shared" ref="S184:S187" si="134">D184*$N$154</f>
        <v>0</v>
      </c>
      <c r="T184" s="313">
        <f t="shared" ref="T184:T187" si="135">C184*$O$154</f>
        <v>0</v>
      </c>
      <c r="U184" s="313">
        <f>IF(ISERROR(IF(SEARCH("comp",E184),SUM(Q184:T184),0)),0,IF(SEARCH("comp",E184),SUM(Q184:T184),0))</f>
        <v>0</v>
      </c>
      <c r="V184" s="314">
        <f>'Données d''entrée'!$C$587</f>
        <v>6.0000000000000001E-3</v>
      </c>
      <c r="W184" s="310">
        <f t="shared" ref="W184:W187" si="136">U184*V184</f>
        <v>0</v>
      </c>
      <c r="X184" s="313">
        <f t="shared" ref="X184:X187" si="137">SUM(Q184:T184)-Y184-U184</f>
        <v>0</v>
      </c>
      <c r="Y184" s="313">
        <f>IF(ISERROR(SUM(Q184:T184)*VLOOKUP(E184,'Données d''entrée'!$B$378:$H$385,7,FALSE)),0,SUM(Q184:T184)*VLOOKUP(E184,'Données d''entrée'!$B$378:$H$385,7,FALSE))</f>
        <v>0</v>
      </c>
    </row>
    <row r="185" spans="1:47" customFormat="1" hidden="1" x14ac:dyDescent="0.35">
      <c r="A185" s="130">
        <v>3</v>
      </c>
      <c r="B185" s="131" t="str">
        <f>IF(Exploitation!B82="","non_renseigné",Exploitation!B82)</f>
        <v>non_renseigné</v>
      </c>
      <c r="C185" s="311">
        <f>IF(Exploitation!D82="",0,Exploitation!D82)</f>
        <v>0</v>
      </c>
      <c r="D185" s="312">
        <f>IF(Exploitation!E82="",0,Exploitation!E82)</f>
        <v>0</v>
      </c>
      <c r="E185" s="312">
        <f>IF(Exploitation!F82="",0,Exploitation!F82)</f>
        <v>0</v>
      </c>
      <c r="F185" s="312" t="str">
        <f t="shared" si="125"/>
        <v/>
      </c>
      <c r="G185" s="312" t="str">
        <f t="shared" si="125"/>
        <v/>
      </c>
      <c r="H185" s="313">
        <f t="shared" si="126"/>
        <v>0</v>
      </c>
      <c r="I185" s="313">
        <f t="shared" si="127"/>
        <v>0</v>
      </c>
      <c r="J185" s="313">
        <f t="shared" si="128"/>
        <v>0</v>
      </c>
      <c r="K185" s="313">
        <f t="shared" si="129"/>
        <v>0</v>
      </c>
      <c r="L185" s="313">
        <f>IF(ISERROR(IF(SEARCH("comp",E185),SUM(H185:K185),0)),0,IF(SEARCH("comp",E185),SUM(H185:K185),0))</f>
        <v>0</v>
      </c>
      <c r="M185" s="314">
        <f>'Données d''entrée'!$C$587</f>
        <v>6.0000000000000001E-3</v>
      </c>
      <c r="N185" s="310">
        <f t="shared" si="130"/>
        <v>0</v>
      </c>
      <c r="O185" s="313">
        <f t="shared" si="131"/>
        <v>0</v>
      </c>
      <c r="P185" s="313">
        <f>IF(ISERROR(SUM(H185:K185)*VLOOKUP(E185,'Données d''entrée'!$B$378:$H$385,7,FALSE)),0,SUM(H185:K185)*VLOOKUP(E185,'Données d''entrée'!$B$378:$H$385,7,FALSE))</f>
        <v>0</v>
      </c>
      <c r="Q185" s="313">
        <f t="shared" si="132"/>
        <v>0</v>
      </c>
      <c r="R185" s="313">
        <f t="shared" si="133"/>
        <v>0</v>
      </c>
      <c r="S185" s="313">
        <f t="shared" si="134"/>
        <v>0</v>
      </c>
      <c r="T185" s="313">
        <f t="shared" si="135"/>
        <v>0</v>
      </c>
      <c r="U185" s="313">
        <f t="shared" ref="U185:U187" si="138">IF(ISERROR(IF(SEARCH("comp",E185),SUM(Q185:T185),0)),0,IF(SEARCH("comp",E185),SUM(Q185:T185),0))</f>
        <v>0</v>
      </c>
      <c r="V185" s="314">
        <f>'Données d''entrée'!$C$587</f>
        <v>6.0000000000000001E-3</v>
      </c>
      <c r="W185" s="310">
        <f t="shared" si="136"/>
        <v>0</v>
      </c>
      <c r="X185" s="313">
        <f t="shared" si="137"/>
        <v>0</v>
      </c>
      <c r="Y185" s="313">
        <f>IF(ISERROR(SUM(Q185:T185)*VLOOKUP(E185,'Données d''entrée'!$B$378:$H$385,7,FALSE)),0,SUM(Q185:T185)*VLOOKUP(E185,'Données d''entrée'!$B$378:$H$385,7,FALSE))</f>
        <v>0</v>
      </c>
    </row>
    <row r="186" spans="1:47" customFormat="1" hidden="1" x14ac:dyDescent="0.35">
      <c r="A186" s="130">
        <v>4</v>
      </c>
      <c r="B186" s="131" t="str">
        <f>IF(Exploitation!B83="","non_renseigné",Exploitation!B83)</f>
        <v>non_renseigné</v>
      </c>
      <c r="C186" s="311">
        <f>IF(Exploitation!D83="",0,Exploitation!D83)</f>
        <v>0</v>
      </c>
      <c r="D186" s="312">
        <f>IF(Exploitation!E83="",0,Exploitation!E83)</f>
        <v>0</v>
      </c>
      <c r="E186" s="312">
        <f>IF(Exploitation!F83="",0,Exploitation!F83)</f>
        <v>0</v>
      </c>
      <c r="F186" s="312" t="str">
        <f t="shared" si="125"/>
        <v/>
      </c>
      <c r="G186" s="312" t="str">
        <f t="shared" si="125"/>
        <v/>
      </c>
      <c r="H186" s="313">
        <f t="shared" si="126"/>
        <v>0</v>
      </c>
      <c r="I186" s="313">
        <f t="shared" si="127"/>
        <v>0</v>
      </c>
      <c r="J186" s="313">
        <f t="shared" si="128"/>
        <v>0</v>
      </c>
      <c r="K186" s="313">
        <f t="shared" si="129"/>
        <v>0</v>
      </c>
      <c r="L186" s="313">
        <f>IF(ISERROR(IF(SEARCH("comp",E186),SUM(H186:K186),0)),0,IF(SEARCH("comp",E186),SUM(H186:K186),0))</f>
        <v>0</v>
      </c>
      <c r="M186" s="314">
        <f>'Données d''entrée'!$C$587</f>
        <v>6.0000000000000001E-3</v>
      </c>
      <c r="N186" s="310">
        <f t="shared" si="130"/>
        <v>0</v>
      </c>
      <c r="O186" s="313">
        <f>SUM(H186:K186)-P186-L186</f>
        <v>0</v>
      </c>
      <c r="P186" s="313">
        <f>IF(ISERROR(SUM(H186:K186)*VLOOKUP(E186,'Données d''entrée'!$B$378:$H$385,7,FALSE)),0,SUM(H186:K186)*VLOOKUP(E186,'Données d''entrée'!$B$378:$H$385,7,FALSE))</f>
        <v>0</v>
      </c>
      <c r="Q186" s="313">
        <f t="shared" si="132"/>
        <v>0</v>
      </c>
      <c r="R186" s="313">
        <f t="shared" si="133"/>
        <v>0</v>
      </c>
      <c r="S186" s="313">
        <f t="shared" si="134"/>
        <v>0</v>
      </c>
      <c r="T186" s="313">
        <f t="shared" si="135"/>
        <v>0</v>
      </c>
      <c r="U186" s="313">
        <f t="shared" si="138"/>
        <v>0</v>
      </c>
      <c r="V186" s="314">
        <f>'Données d''entrée'!$C$587</f>
        <v>6.0000000000000001E-3</v>
      </c>
      <c r="W186" s="310">
        <f t="shared" si="136"/>
        <v>0</v>
      </c>
      <c r="X186" s="313">
        <f t="shared" si="137"/>
        <v>0</v>
      </c>
      <c r="Y186" s="313">
        <f>IF(ISERROR(SUM(Q186:T186)*VLOOKUP(E186,'Données d''entrée'!$B$378:$H$385,7,FALSE)),0,SUM(Q186:T186)*VLOOKUP(E186,'Données d''entrée'!$B$378:$H$385,7,FALSE))</f>
        <v>0</v>
      </c>
    </row>
    <row r="187" spans="1:47" customFormat="1" hidden="1" x14ac:dyDescent="0.35">
      <c r="A187" s="130">
        <v>5</v>
      </c>
      <c r="B187" s="131" t="str">
        <f>IF(Exploitation!B84="","non_renseigné",Exploitation!B84)</f>
        <v>non_renseigné</v>
      </c>
      <c r="C187" s="311">
        <f>IF(Exploitation!D84="",0,Exploitation!D84)</f>
        <v>0</v>
      </c>
      <c r="D187" s="312">
        <f>IF(Exploitation!E84="",0,Exploitation!E84)</f>
        <v>0</v>
      </c>
      <c r="E187" s="312">
        <f>IF(Exploitation!F84="",0,Exploitation!F84)</f>
        <v>0</v>
      </c>
      <c r="F187" s="312" t="str">
        <f t="shared" si="125"/>
        <v/>
      </c>
      <c r="G187" s="312" t="str">
        <f t="shared" si="125"/>
        <v/>
      </c>
      <c r="H187" s="313">
        <f t="shared" si="126"/>
        <v>0</v>
      </c>
      <c r="I187" s="313">
        <f t="shared" si="127"/>
        <v>0</v>
      </c>
      <c r="J187" s="313">
        <f t="shared" si="128"/>
        <v>0</v>
      </c>
      <c r="K187" s="313">
        <f t="shared" si="129"/>
        <v>0</v>
      </c>
      <c r="L187" s="313">
        <f>IF(ISERROR(IF(SEARCH("comp",E187),SUM(H187:K187),0)),0,IF(SEARCH("comp",E187),SUM(H187:K187),0))</f>
        <v>0</v>
      </c>
      <c r="M187" s="314">
        <f>'Données d''entrée'!$C$587</f>
        <v>6.0000000000000001E-3</v>
      </c>
      <c r="N187" s="310">
        <f t="shared" si="130"/>
        <v>0</v>
      </c>
      <c r="O187" s="313">
        <f t="shared" si="131"/>
        <v>0</v>
      </c>
      <c r="P187" s="313">
        <f>IF(ISERROR(SUM(H187:K187)*VLOOKUP(E187,'Données d''entrée'!$B$378:$H$385,7,FALSE)),0,SUM(H187:K187)*VLOOKUP(E187,'Données d''entrée'!$B$378:$H$385,7,FALSE))</f>
        <v>0</v>
      </c>
      <c r="Q187" s="313">
        <f t="shared" si="132"/>
        <v>0</v>
      </c>
      <c r="R187" s="313">
        <f>IF(ISERROR(((SUMIF($E$127:$E$146,$B187,$V$127:$V$146)+SUMIF($E$127:$E$146,$B187,$AC$100:$AC$119)+SUMIF($E$127:$E$146,$B187,$X$127:$X$146))*SUMIF($E$127:$E$146,$B187,$X$127:$X$146)/(SUMIF($E$127:$E$146,$B187,$V$127:$V$146)+SUMIF($E$127:$E$146,$B187,$X$127:$X$146)))),0,(SUMIF($E$127:$E$146,$B187,$V$127:$V$146)+SUMIF($E$127:$E$146,$B187,$AC$100:$AC$119)+SUMIF($E$127:$E$146,$B187,$X$127:$X$146))*SUMIF($E$127:$E$146,$B187,$X$127:$X$146)/(SUMIF($E$127:$E$146,$B187,$V$127:$V$146)+SUMIF($E$127:$E$146,$B187,$X$127:$X$146)))</f>
        <v>0</v>
      </c>
      <c r="S187" s="313">
        <f t="shared" si="134"/>
        <v>0</v>
      </c>
      <c r="T187" s="313">
        <f t="shared" si="135"/>
        <v>0</v>
      </c>
      <c r="U187" s="313">
        <f t="shared" si="138"/>
        <v>0</v>
      </c>
      <c r="V187" s="314">
        <f>'Données d''entrée'!$C$587</f>
        <v>6.0000000000000001E-3</v>
      </c>
      <c r="W187" s="310">
        <f t="shared" si="136"/>
        <v>0</v>
      </c>
      <c r="X187" s="313">
        <f t="shared" si="137"/>
        <v>0</v>
      </c>
      <c r="Y187" s="313">
        <f>IF(ISERROR(SUM(Q187:T187)*VLOOKUP(E187,'Données d''entrée'!$B$378:$H$385,7,FALSE)),0,SUM(Q187:T187)*VLOOKUP(E187,'Données d''entrée'!$B$378:$H$385,7,FALSE))</f>
        <v>0</v>
      </c>
    </row>
    <row r="188" spans="1:47" customFormat="1" hidden="1" x14ac:dyDescent="0.35"/>
    <row r="189" spans="1:47" customFormat="1" hidden="1" x14ac:dyDescent="0.35"/>
    <row r="190" spans="1:47" customFormat="1" hidden="1" x14ac:dyDescent="0.35">
      <c r="B190" s="315" t="s">
        <v>651</v>
      </c>
      <c r="V190" s="12"/>
    </row>
    <row r="191" spans="1:47" customFormat="1" ht="15" hidden="1" customHeight="1" x14ac:dyDescent="0.35">
      <c r="F191" s="517" t="s">
        <v>493</v>
      </c>
      <c r="G191" s="518"/>
      <c r="H191" s="518"/>
      <c r="I191" s="518"/>
      <c r="J191" s="518"/>
      <c r="K191" s="518"/>
      <c r="L191" s="518"/>
      <c r="M191" s="519"/>
      <c r="N191" s="517" t="s">
        <v>205</v>
      </c>
      <c r="O191" s="518"/>
      <c r="P191" s="518"/>
      <c r="Q191" s="518"/>
      <c r="R191" s="518"/>
      <c r="S191" s="518"/>
      <c r="T191" s="518"/>
      <c r="U191" s="519"/>
    </row>
    <row r="192" spans="1:47" s="12" customFormat="1" ht="26.5" hidden="1" customHeight="1" x14ac:dyDescent="0.35">
      <c r="F192" s="557" t="s">
        <v>615</v>
      </c>
      <c r="G192" s="558"/>
      <c r="H192" s="534" t="s">
        <v>605</v>
      </c>
      <c r="I192" s="535"/>
      <c r="J192" s="542" t="s">
        <v>607</v>
      </c>
      <c r="K192" s="551" t="s">
        <v>617</v>
      </c>
      <c r="L192" s="552"/>
      <c r="M192" s="549" t="s">
        <v>645</v>
      </c>
      <c r="N192" s="557" t="s">
        <v>615</v>
      </c>
      <c r="O192" s="558"/>
      <c r="P192" s="534" t="s">
        <v>605</v>
      </c>
      <c r="Q192" s="535"/>
      <c r="R192" s="542" t="s">
        <v>607</v>
      </c>
      <c r="S192" s="551" t="s">
        <v>617</v>
      </c>
      <c r="T192" s="552"/>
      <c r="U192" s="549" t="s">
        <v>645</v>
      </c>
    </row>
    <row r="193" spans="1:38" customFormat="1" ht="50.5" hidden="1" customHeight="1" x14ac:dyDescent="0.35">
      <c r="A193" s="51"/>
      <c r="B193" s="112" t="s">
        <v>123</v>
      </c>
      <c r="C193" s="112" t="s">
        <v>581</v>
      </c>
      <c r="D193" s="112" t="s">
        <v>582</v>
      </c>
      <c r="E193" s="112" t="s">
        <v>151</v>
      </c>
      <c r="F193" s="112" t="s">
        <v>613</v>
      </c>
      <c r="G193" s="112" t="s">
        <v>614</v>
      </c>
      <c r="H193" s="112" t="s">
        <v>290</v>
      </c>
      <c r="I193" s="112" t="s">
        <v>288</v>
      </c>
      <c r="J193" s="543"/>
      <c r="K193" s="112" t="s">
        <v>290</v>
      </c>
      <c r="L193" s="112" t="s">
        <v>288</v>
      </c>
      <c r="M193" s="550"/>
      <c r="N193" s="112" t="s">
        <v>613</v>
      </c>
      <c r="O193" s="112" t="s">
        <v>614</v>
      </c>
      <c r="P193" s="112" t="s">
        <v>290</v>
      </c>
      <c r="Q193" s="112" t="s">
        <v>288</v>
      </c>
      <c r="R193" s="543"/>
      <c r="S193" s="112" t="s">
        <v>290</v>
      </c>
      <c r="T193" s="112" t="s">
        <v>288</v>
      </c>
      <c r="U193" s="550"/>
    </row>
    <row r="194" spans="1:38" customFormat="1" hidden="1" x14ac:dyDescent="0.35">
      <c r="A194" s="130">
        <v>1</v>
      </c>
      <c r="B194" s="131" t="str">
        <f>IF(Exploitation!B88="","non_renseigné",Exploitation!B88)</f>
        <v>non_renseigné</v>
      </c>
      <c r="C194" s="131">
        <f>IF(Exploitation!D88="",0,Exploitation!D88)</f>
        <v>0</v>
      </c>
      <c r="D194" s="131">
        <f>IF(Exploitation!E88="",0,Exploitation!E88)</f>
        <v>0</v>
      </c>
      <c r="E194" s="131" t="str">
        <f>IF(Exploitation!F88="","",Exploitation!F88)</f>
        <v/>
      </c>
      <c r="F194" s="313">
        <f>IF(ISERROR(((SUMIF($D$127:$D$146,$B194,$N$127:$N$146)+SUMIF($D$127:$D$146,$B194,$AB$100:$AB$119)+SUMIF($D$127:$D$146,$B194,$P$127:$P$146))*SUMIF($D$127:$D$146,$B194,$N$127:$N$146)/(SUMIF($D$127:$D$146,$B194,$N$127:$N$146)+SUMIF($D$127:$D$146,$B194,$P$127:$P$146)))),0,(SUMIF($D$127:$D$146,$B194,$N$127:$N$146)+SUMIF($D$127:$D$146,$B194,$AB$100:$AB$119)+SUMIF($D$127:$D$146,$B194,$P$127:$P$146))*SUMIF($D$127:$D$146,$B194,$N$127:$N$146)/(SUMIF($D$127:$D$146,$B194,$N$127:$N$146)+SUMIF($D$127:$D$146,$B194,$P$127:$P$146)))+SUMIF($G$183:$G$187,B194,$O$183:$O$187)</f>
        <v>0</v>
      </c>
      <c r="G194" s="313">
        <f>IF(ISERROR((SUMIF($E$127:$E$146,$B194,$N$127:$N$146)+SUMIF($E$127:$E$146,$B194,$AB$100:$AB$119)+SUMIF($E$127:$E$146,$B194,$P$127:$P$146))*SUMIF($E$127:$E$146,$B194,$P$127:$P$146)/(SUMIF($E$127:$E$146,$B194,$N$127:$N$146)+SUMIF($E$127:$E$146,$B194,$P$127:$P$146))),0,(SUMIF($E$127:$E$146,$B194,$N$127:$N$146)+SUMIF($E$127:$E$146,$B194,$AB$100:$AB$119)+SUMIF($E$127:$E$146,$B194,$P$127:$P$146))*SUMIF($E$127:$E$146,$B194,$P$127:$P$146)/(SUMIF($E$127:$E$146,$B194,$N$127:$N$146)+SUMIF($E$127:$E$146,$B194,$P$127:$P$146)))+SUMIF($F$183:$F$187,B194,$P$183:$P$187)</f>
        <v>0</v>
      </c>
      <c r="H194" s="313">
        <f>D194*$L$154</f>
        <v>0</v>
      </c>
      <c r="I194" s="313">
        <f>C194*$M$154</f>
        <v>0</v>
      </c>
      <c r="J194" s="314">
        <f>IF(ISERROR(VLOOKUP(E194,'Données d''entrée'!$B$600:$C$608,2,FALSE)),0,VLOOKUP(E194,'Données d''entrée'!$B$600:$C$608,2,FALSE))</f>
        <v>0</v>
      </c>
      <c r="K194" s="310">
        <f>(F194+H194)*$J194</f>
        <v>0</v>
      </c>
      <c r="L194" s="310">
        <f>(G194+I194)*$J194</f>
        <v>0</v>
      </c>
      <c r="M194" s="313">
        <f>SUMIF($G$183:$G$187,B194,$N$183:$N$187)</f>
        <v>0</v>
      </c>
      <c r="N194" s="313">
        <f>IF(ISERROR(((SUMIF($D$127:$D$146,$B194,$V$127:$V$146)+SUMIF($D$127:$D$146,$B194,$AC$100:$AC$119)+SUMIF($D$127:$D$146,$B194,$X$127:$X$146))*SUMIF($D$127:$D$146,$B194,$V$127:$V$146)/(SUMIF($D$127:$D$146,$B194,$V$127:$V$146)+SUMIF($D$127:$D$146,$B194,$X$127:$X$146)))),0,(SUMIF($D$127:$D$146,$B194,$V$127:$V$146)+SUMIF($D$127:$D$146,$B194,$AC$100:$AC$119)+SUMIF($D$127:$D$146,$B194,$X$127:$X$146))*SUMIF($D$127:$D$146,$B194,$V$127:$V$146)/(SUMIF($D$127:$D$146,$B194,$V$127:$V$146)+SUMIF($D$127:$D$146,$B194,$X$127:$X$146)))+SUMIF($G$183:$G$187,B194,$X$183:$X$187)</f>
        <v>0</v>
      </c>
      <c r="O194" s="313">
        <f>IF(ISERROR(((SUMIF($E$127:$E$146,$B194,$V$127:$V$146)+SUMIF($E$127:$E$146,$B194,$AC$100:$AC$119)+SUMIF($E$127:$E$146,$B194,$X$127:$X$146))*SUMIF($E$127:$E$146,$B194,$X$127:$X$146)/(SUMIF($E$127:$E$146,$B194,$V$127:$V$146)+SUMIF($E$127:$E$146,$B194,$X$127:$X$146)))),0,(SUMIF($E$127:$E$146,$B194,$V$127:$V$146)+SUMIF($E$127:$E$146,$B194,$AC$100:$AC$119)+SUMIF($E$127:$E$146,$B194,$X$127:$X$146))*SUMIF($E$127:$E$146,$B194,$X$127:$X$146)/(SUMIF($E$127:$E$146,$B194,$V$127:$V$146)+SUMIF($E$127:$E$146,$B194,$X$127:$X$146)))+SUMIF($F$183:$F$187,B194,$Y$183:$Y$187)</f>
        <v>0</v>
      </c>
      <c r="P194" s="313">
        <f>D194*$N$154</f>
        <v>0</v>
      </c>
      <c r="Q194" s="313">
        <f>C194*$O$154</f>
        <v>0</v>
      </c>
      <c r="R194" s="314">
        <f>IF(ISERROR(VLOOKUP(E194,'Données d''entrée'!$B$600:$C$608,2,FALSE)),0,VLOOKUP(E194,'Données d''entrée'!$B$600:$C$608,2,FALSE))</f>
        <v>0</v>
      </c>
      <c r="S194" s="310">
        <f>(N194+P194)*$R194</f>
        <v>0</v>
      </c>
      <c r="T194" s="310">
        <f>(O194+Q194)*$R194</f>
        <v>0</v>
      </c>
      <c r="U194" s="313">
        <f>SUMIF($G$183:$G$187,B194,$W$183:$W$187)</f>
        <v>0</v>
      </c>
    </row>
    <row r="195" spans="1:38" customFormat="1" hidden="1" x14ac:dyDescent="0.35">
      <c r="A195" s="130">
        <v>2</v>
      </c>
      <c r="B195" s="131" t="str">
        <f>IF(Exploitation!B89="","non_renseigné",Exploitation!B89)</f>
        <v>non_renseigné</v>
      </c>
      <c r="C195" s="131">
        <f>IF(Exploitation!D89="",0,Exploitation!D89)</f>
        <v>0</v>
      </c>
      <c r="D195" s="131">
        <f>IF(Exploitation!E89="",0,Exploitation!E89)</f>
        <v>0</v>
      </c>
      <c r="E195" s="131" t="str">
        <f>IF(Exploitation!F89="","",Exploitation!F89)</f>
        <v/>
      </c>
      <c r="F195" s="313">
        <f t="shared" ref="F195:F198" si="139">IF(ISERROR(((SUMIF($D$127:$D$146,$B195,$N$127:$N$146)+SUMIF($D$127:$D$146,$B195,$AB$100:$AB$119)+SUMIF($D$127:$D$146,$B195,$P$127:$P$146))*SUMIF($D$127:$D$146,$B195,$N$127:$N$146)/(SUMIF($D$127:$D$146,$B195,$N$127:$N$146)+SUMIF($D$127:$D$146,$B195,$P$127:$P$146)))),0,(SUMIF($D$127:$D$146,$B195,$N$127:$N$146)+SUMIF($D$127:$D$146,$B195,$AB$100:$AB$119)+SUMIF($D$127:$D$146,$B195,$P$127:$P$146))*SUMIF($D$127:$D$146,$B195,$N$127:$N$146)/(SUMIF($D$127:$D$146,$B195,$N$127:$N$146)+SUMIF($D$127:$D$146,$B195,$P$127:$P$146)))+SUMIF($G$183:$G$187,B195,$O$183:$O$187)</f>
        <v>0</v>
      </c>
      <c r="G195" s="313">
        <f t="shared" ref="G195:G198" si="140">IF(ISERROR((SUMIF($E$127:$E$146,$B195,$N$127:$N$146)+SUMIF($E$127:$E$146,$B195,$AB$100:$AB$119)+SUMIF($E$127:$E$146,$B195,$P$127:$P$146))*SUMIF($E$127:$E$146,$B195,$P$127:$P$146)/(SUMIF($E$127:$E$146,$B195,$N$127:$N$146)+SUMIF($E$127:$E$146,$B195,$P$127:$P$146))),0,(SUMIF($E$127:$E$146,$B195,$N$127:$N$146)+SUMIF($E$127:$E$146,$B195,$AB$100:$AB$119)+SUMIF($E$127:$E$146,$B195,$P$127:$P$146))*SUMIF($E$127:$E$146,$B195,$P$127:$P$146)/(SUMIF($E$127:$E$146,$B195,$N$127:$N$146)+SUMIF($E$127:$E$146,$B195,$P$127:$P$146)))+SUMIF($F$183:$F$187,B195,$P$183:$P$187)</f>
        <v>0</v>
      </c>
      <c r="H195" s="313">
        <f t="shared" ref="H195:H198" si="141">D195*$L$154</f>
        <v>0</v>
      </c>
      <c r="I195" s="313">
        <f t="shared" ref="I195:I198" si="142">C195*$M$154</f>
        <v>0</v>
      </c>
      <c r="J195" s="314">
        <f>IF(ISERROR(VLOOKUP(E195,'Données d''entrée'!$B$600:$C$608,2,FALSE)),0,VLOOKUP(E195,'Données d''entrée'!$B$600:$C$608,2,FALSE))</f>
        <v>0</v>
      </c>
      <c r="K195" s="310">
        <f t="shared" ref="K195:L198" si="143">(F195+H195)*$J195</f>
        <v>0</v>
      </c>
      <c r="L195" s="310">
        <f t="shared" si="143"/>
        <v>0</v>
      </c>
      <c r="M195" s="313">
        <f t="shared" ref="M195:M198" si="144">SUMIF($G$183:$G$187,B195,$N$183:$N$187)</f>
        <v>0</v>
      </c>
      <c r="N195" s="313">
        <f t="shared" ref="N195:N198" si="145">IF(ISERROR(((SUMIF($D$127:$D$146,$B195,$V$127:$V$146)+SUMIF($D$127:$D$146,$B195,$AC$100:$AC$119)+SUMIF($D$127:$D$146,$B195,$X$127:$X$146))*SUMIF($D$127:$D$146,$B195,$V$127:$V$146)/(SUMIF($D$127:$D$146,$B195,$V$127:$V$146)+SUMIF($D$127:$D$146,$B195,$X$127:$X$146)))),0,(SUMIF($D$127:$D$146,$B195,$V$127:$V$146)+SUMIF($D$127:$D$146,$B195,$AC$100:$AC$119)+SUMIF($D$127:$D$146,$B195,$X$127:$X$146))*SUMIF($D$127:$D$146,$B195,$V$127:$V$146)/(SUMIF($D$127:$D$146,$B195,$V$127:$V$146)+SUMIF($D$127:$D$146,$B195,$X$127:$X$146)))+SUMIF($G$183:$G$187,B195,$X$183:$X$187)</f>
        <v>0</v>
      </c>
      <c r="O195" s="313">
        <f>IF(ISERROR(((SUMIF($E$127:$E$146,$B195,$V$127:$V$146)+SUMIF($E$127:$E$146,$B195,$AC$100:$AC$119)+SUMIF($E$127:$E$146,$B195,$X$127:$X$146))*SUMIF($E$127:$E$146,$B195,$X$127:$X$146)/(SUMIF($E$127:$E$146,$B195,$V$127:$V$146)+SUMIF($E$127:$E$146,$B195,$X$127:$X$146)))),0,(SUMIF($E$127:$E$146,$B195,$V$127:$V$146)+SUMIF($E$127:$E$146,$B195,$AC$100:$AC$119)+SUMIF($E$127:$E$146,$B195,$X$127:$X$146))*SUMIF($E$127:$E$146,$B195,$X$127:$X$146)/(SUMIF($E$127:$E$146,$B195,$V$127:$V$146)+SUMIF($E$127:$E$146,$B195,$X$127:$X$146)))+SUMIF($F$183:$F$187,B195,$Y$183:$Y$187)</f>
        <v>0</v>
      </c>
      <c r="P195" s="313">
        <f t="shared" ref="P195:P198" si="146">D195*$N$154</f>
        <v>0</v>
      </c>
      <c r="Q195" s="313">
        <f t="shared" ref="Q195:Q198" si="147">C195*$O$154</f>
        <v>0</v>
      </c>
      <c r="R195" s="314">
        <f>IF(ISERROR(VLOOKUP(E195,'Données d''entrée'!$B$600:$C$608,2,FALSE)),0,VLOOKUP(E195,'Données d''entrée'!$B$600:$C$608,2,FALSE))</f>
        <v>0</v>
      </c>
      <c r="S195" s="310">
        <f t="shared" ref="S195:T198" si="148">(N195+P195)*$R195</f>
        <v>0</v>
      </c>
      <c r="T195" s="310">
        <f t="shared" si="148"/>
        <v>0</v>
      </c>
      <c r="U195" s="313">
        <f t="shared" ref="U195:U198" si="149">SUMIF($G$183:$G$187,B195,$W$183:$W$187)</f>
        <v>0</v>
      </c>
    </row>
    <row r="196" spans="1:38" customFormat="1" hidden="1" x14ac:dyDescent="0.35">
      <c r="A196" s="130">
        <v>3</v>
      </c>
      <c r="B196" s="131" t="str">
        <f>IF(Exploitation!B90="","non_renseigné",Exploitation!B90)</f>
        <v>non_renseigné</v>
      </c>
      <c r="C196" s="131">
        <f>IF(Exploitation!D90="",0,Exploitation!D90)</f>
        <v>0</v>
      </c>
      <c r="D196" s="131">
        <f>IF(Exploitation!E90="",0,Exploitation!E90)</f>
        <v>0</v>
      </c>
      <c r="E196" s="131" t="str">
        <f>IF(Exploitation!F90="","",Exploitation!F90)</f>
        <v/>
      </c>
      <c r="F196" s="313">
        <f t="shared" si="139"/>
        <v>0</v>
      </c>
      <c r="G196" s="313">
        <f t="shared" si="140"/>
        <v>0</v>
      </c>
      <c r="H196" s="313">
        <f t="shared" si="141"/>
        <v>0</v>
      </c>
      <c r="I196" s="313">
        <f t="shared" si="142"/>
        <v>0</v>
      </c>
      <c r="J196" s="314">
        <f>IF(ISERROR(VLOOKUP(E196,'Données d''entrée'!$B$600:$C$608,2,FALSE)),0,VLOOKUP(E196,'Données d''entrée'!$B$600:$C$608,2,FALSE))</f>
        <v>0</v>
      </c>
      <c r="K196" s="310">
        <f>(F196+H196)*$J196</f>
        <v>0</v>
      </c>
      <c r="L196" s="310">
        <f t="shared" si="143"/>
        <v>0</v>
      </c>
      <c r="M196" s="313">
        <f t="shared" si="144"/>
        <v>0</v>
      </c>
      <c r="N196" s="313">
        <f t="shared" si="145"/>
        <v>0</v>
      </c>
      <c r="O196" s="313">
        <f t="shared" ref="O196:O198" si="150">IF(ISERROR(((SUMIF($E$127:$E$146,$B196,$V$127:$V$146)+SUMIF($E$127:$E$146,$B196,$AC$100:$AC$119)+SUMIF($E$127:$E$146,$B196,$X$127:$X$146))*SUMIF($E$127:$E$146,$B196,$X$127:$X$146)/(SUMIF($E$127:$E$146,$B196,$V$127:$V$146)+SUMIF($E$127:$E$146,$B196,$X$127:$X$146)))),0,(SUMIF($E$127:$E$146,$B196,$V$127:$V$146)+SUMIF($E$127:$E$146,$B196,$AC$100:$AC$119)+SUMIF($E$127:$E$146,$B196,$X$127:$X$146))*SUMIF($E$127:$E$146,$B196,$X$127:$X$146)/(SUMIF($E$127:$E$146,$B196,$V$127:$V$146)+SUMIF($E$127:$E$146,$B196,$X$127:$X$146)))+SUMIF($F$183:$F$187,B196,$Y$183:$Y$187)</f>
        <v>0</v>
      </c>
      <c r="P196" s="313">
        <f t="shared" si="146"/>
        <v>0</v>
      </c>
      <c r="Q196" s="313">
        <f t="shared" si="147"/>
        <v>0</v>
      </c>
      <c r="R196" s="314">
        <f>IF(ISERROR(VLOOKUP(E196,'Données d''entrée'!$B$600:$C$608,2,FALSE)),0,VLOOKUP(E196,'Données d''entrée'!$B$600:$C$608,2,FALSE))</f>
        <v>0</v>
      </c>
      <c r="S196" s="310">
        <f t="shared" si="148"/>
        <v>0</v>
      </c>
      <c r="T196" s="310">
        <f t="shared" si="148"/>
        <v>0</v>
      </c>
      <c r="U196" s="313">
        <f t="shared" si="149"/>
        <v>0</v>
      </c>
    </row>
    <row r="197" spans="1:38" customFormat="1" hidden="1" x14ac:dyDescent="0.35">
      <c r="A197" s="130">
        <v>4</v>
      </c>
      <c r="B197" s="131" t="str">
        <f>IF(Exploitation!B91="","non_renseigné",Exploitation!B91)</f>
        <v>non_renseigné</v>
      </c>
      <c r="C197" s="131">
        <f>IF(Exploitation!D91="",0,Exploitation!D91)</f>
        <v>0</v>
      </c>
      <c r="D197" s="131">
        <f>IF(Exploitation!E91="",0,Exploitation!E91)</f>
        <v>0</v>
      </c>
      <c r="E197" s="131" t="str">
        <f>IF(Exploitation!F91="","",Exploitation!F91)</f>
        <v/>
      </c>
      <c r="F197" s="313">
        <f t="shared" si="139"/>
        <v>0</v>
      </c>
      <c r="G197" s="313">
        <f t="shared" si="140"/>
        <v>0</v>
      </c>
      <c r="H197" s="313">
        <f t="shared" si="141"/>
        <v>0</v>
      </c>
      <c r="I197" s="313">
        <f t="shared" si="142"/>
        <v>0</v>
      </c>
      <c r="J197" s="314">
        <f>IF(ISERROR(VLOOKUP(E197,'Données d''entrée'!$B$600:$C$608,2,FALSE)),0,VLOOKUP(E197,'Données d''entrée'!$B$600:$C$608,2,FALSE))</f>
        <v>0</v>
      </c>
      <c r="K197" s="310">
        <f t="shared" si="143"/>
        <v>0</v>
      </c>
      <c r="L197" s="310">
        <f t="shared" si="143"/>
        <v>0</v>
      </c>
      <c r="M197" s="313">
        <f t="shared" si="144"/>
        <v>0</v>
      </c>
      <c r="N197" s="313">
        <f t="shared" si="145"/>
        <v>0</v>
      </c>
      <c r="O197" s="313">
        <f t="shared" si="150"/>
        <v>0</v>
      </c>
      <c r="P197" s="313">
        <f t="shared" si="146"/>
        <v>0</v>
      </c>
      <c r="Q197" s="313">
        <f t="shared" si="147"/>
        <v>0</v>
      </c>
      <c r="R197" s="314">
        <f>IF(ISERROR(VLOOKUP(E197,'Données d''entrée'!$B$600:$C$608,2,FALSE)),0,VLOOKUP(E197,'Données d''entrée'!$B$600:$C$608,2,FALSE))</f>
        <v>0</v>
      </c>
      <c r="S197" s="310">
        <f t="shared" si="148"/>
        <v>0</v>
      </c>
      <c r="T197" s="310">
        <f t="shared" si="148"/>
        <v>0</v>
      </c>
      <c r="U197" s="313">
        <f t="shared" si="149"/>
        <v>0</v>
      </c>
    </row>
    <row r="198" spans="1:38" customFormat="1" hidden="1" x14ac:dyDescent="0.35">
      <c r="A198" s="130">
        <v>5</v>
      </c>
      <c r="B198" s="131" t="str">
        <f>IF(Exploitation!B92="","non_renseigné",Exploitation!B92)</f>
        <v>non_renseigné</v>
      </c>
      <c r="C198" s="131">
        <f>IF(Exploitation!D92="",0,Exploitation!D92)</f>
        <v>0</v>
      </c>
      <c r="D198" s="131">
        <f>IF(Exploitation!E92="",0,Exploitation!E92)</f>
        <v>0</v>
      </c>
      <c r="E198" s="131" t="str">
        <f>IF(Exploitation!F92="","",Exploitation!F92)</f>
        <v/>
      </c>
      <c r="F198" s="313">
        <f t="shared" si="139"/>
        <v>0</v>
      </c>
      <c r="G198" s="313">
        <f t="shared" si="140"/>
        <v>0</v>
      </c>
      <c r="H198" s="313">
        <f t="shared" si="141"/>
        <v>0</v>
      </c>
      <c r="I198" s="313">
        <f t="shared" si="142"/>
        <v>0</v>
      </c>
      <c r="J198" s="314">
        <f>IF(ISERROR(VLOOKUP(E198,'Données d''entrée'!$B$600:$C$608,2,FALSE)),0,VLOOKUP(E198,'Données d''entrée'!$B$600:$C$608,2,FALSE))</f>
        <v>0</v>
      </c>
      <c r="K198" s="310">
        <f t="shared" si="143"/>
        <v>0</v>
      </c>
      <c r="L198" s="310">
        <f t="shared" si="143"/>
        <v>0</v>
      </c>
      <c r="M198" s="313">
        <f t="shared" si="144"/>
        <v>0</v>
      </c>
      <c r="N198" s="313">
        <f t="shared" si="145"/>
        <v>0</v>
      </c>
      <c r="O198" s="313">
        <f t="shared" si="150"/>
        <v>0</v>
      </c>
      <c r="P198" s="313">
        <f t="shared" si="146"/>
        <v>0</v>
      </c>
      <c r="Q198" s="313">
        <f t="shared" si="147"/>
        <v>0</v>
      </c>
      <c r="R198" s="314">
        <f>IF(ISERROR(VLOOKUP(E198,'Données d''entrée'!$B$600:$C$608,2,FALSE)),0,VLOOKUP(E198,'Données d''entrée'!$B$600:$C$608,2,FALSE))</f>
        <v>0</v>
      </c>
      <c r="S198" s="310">
        <f t="shared" si="148"/>
        <v>0</v>
      </c>
      <c r="T198" s="310">
        <f t="shared" si="148"/>
        <v>0</v>
      </c>
      <c r="U198" s="313">
        <f t="shared" si="149"/>
        <v>0</v>
      </c>
    </row>
    <row r="199" spans="1:38" customFormat="1" hidden="1" x14ac:dyDescent="0.35">
      <c r="N199" s="12"/>
      <c r="O199" s="12"/>
      <c r="P199" s="12"/>
      <c r="Q199" s="12"/>
      <c r="R199" s="12"/>
      <c r="S199" s="12"/>
      <c r="T199" s="12"/>
      <c r="U199" s="12"/>
    </row>
    <row r="200" spans="1:38" customFormat="1" hidden="1" x14ac:dyDescent="0.35"/>
    <row r="201" spans="1:38" hidden="1" x14ac:dyDescent="0.35"/>
    <row r="202" spans="1:38" ht="26" hidden="1" x14ac:dyDescent="0.6">
      <c r="B202" s="147" t="s">
        <v>206</v>
      </c>
      <c r="C202" s="148">
        <f>SUM(T172:T176)+SUM(AI172:AI176)</f>
        <v>0</v>
      </c>
      <c r="D202" s="149" t="s">
        <v>15</v>
      </c>
    </row>
    <row r="203" spans="1:38" hidden="1" x14ac:dyDescent="0.35"/>
    <row r="204" spans="1:38" hidden="1" x14ac:dyDescent="0.35"/>
    <row r="205" spans="1:38" hidden="1" x14ac:dyDescent="0.35">
      <c r="B205" s="50" t="s">
        <v>211</v>
      </c>
    </row>
    <row r="206" spans="1:38" hidden="1" x14ac:dyDescent="0.35">
      <c r="B206" s="50"/>
      <c r="AH206" s="51" t="s">
        <v>656</v>
      </c>
      <c r="AK206"/>
      <c r="AL206"/>
    </row>
    <row r="207" spans="1:38" ht="14.5" hidden="1" customHeight="1" x14ac:dyDescent="0.35">
      <c r="C207" s="522" t="s">
        <v>493</v>
      </c>
      <c r="D207" s="523"/>
      <c r="E207" s="523"/>
      <c r="F207" s="523"/>
      <c r="G207" s="523"/>
      <c r="H207" s="523"/>
      <c r="I207" s="523"/>
      <c r="J207" s="523"/>
      <c r="K207" s="523"/>
      <c r="L207" s="523"/>
      <c r="M207" s="523"/>
      <c r="N207" s="523"/>
      <c r="O207" s="524"/>
      <c r="P207" s="522" t="s">
        <v>205</v>
      </c>
      <c r="Q207" s="523"/>
      <c r="R207" s="523"/>
      <c r="S207" s="523"/>
      <c r="T207" s="523"/>
      <c r="U207" s="523"/>
      <c r="V207" s="523"/>
      <c r="W207" s="523"/>
      <c r="X207" s="523"/>
      <c r="Y207" s="523"/>
      <c r="Z207" s="523"/>
      <c r="AA207" s="523"/>
      <c r="AB207" s="524"/>
      <c r="AK207"/>
      <c r="AL207"/>
    </row>
    <row r="208" spans="1:38" ht="57.65" hidden="1" customHeight="1" x14ac:dyDescent="0.35">
      <c r="B208" s="167" t="s">
        <v>123</v>
      </c>
      <c r="C208" s="112" t="s">
        <v>464</v>
      </c>
      <c r="D208" s="112" t="s">
        <v>465</v>
      </c>
      <c r="E208" s="112" t="s">
        <v>485</v>
      </c>
      <c r="F208" s="112" t="s">
        <v>486</v>
      </c>
      <c r="G208" s="112" t="s">
        <v>517</v>
      </c>
      <c r="H208" s="112" t="s">
        <v>518</v>
      </c>
      <c r="I208" s="112" t="s">
        <v>519</v>
      </c>
      <c r="J208" s="112" t="s">
        <v>520</v>
      </c>
      <c r="K208" s="112" t="s">
        <v>521</v>
      </c>
      <c r="L208" s="112" t="s">
        <v>522</v>
      </c>
      <c r="M208" s="112" t="s">
        <v>489</v>
      </c>
      <c r="N208" s="112" t="s">
        <v>490</v>
      </c>
      <c r="O208" s="112" t="s">
        <v>491</v>
      </c>
      <c r="P208" s="112" t="s">
        <v>464</v>
      </c>
      <c r="Q208" s="112" t="s">
        <v>465</v>
      </c>
      <c r="R208" s="112" t="s">
        <v>485</v>
      </c>
      <c r="S208" s="112" t="s">
        <v>486</v>
      </c>
      <c r="T208" s="112" t="s">
        <v>517</v>
      </c>
      <c r="U208" s="112" t="s">
        <v>518</v>
      </c>
      <c r="V208" s="112" t="s">
        <v>519</v>
      </c>
      <c r="W208" s="112" t="s">
        <v>520</v>
      </c>
      <c r="X208" s="112" t="s">
        <v>521</v>
      </c>
      <c r="Y208" s="112" t="s">
        <v>522</v>
      </c>
      <c r="Z208" s="112" t="s">
        <v>489</v>
      </c>
      <c r="AA208" s="112" t="s">
        <v>490</v>
      </c>
      <c r="AB208" s="112" t="s">
        <v>491</v>
      </c>
      <c r="AD208" s="112" t="s">
        <v>523</v>
      </c>
      <c r="AE208" s="112" t="s">
        <v>527</v>
      </c>
      <c r="AF208" s="303" t="s">
        <v>646</v>
      </c>
      <c r="AH208" s="303" t="s">
        <v>657</v>
      </c>
      <c r="AI208" s="303" t="s">
        <v>658</v>
      </c>
      <c r="AJ208" s="303" t="s">
        <v>19</v>
      </c>
      <c r="AK208"/>
      <c r="AL208"/>
    </row>
    <row r="209" spans="1:36" hidden="1" x14ac:dyDescent="0.35">
      <c r="A209" s="130">
        <v>1</v>
      </c>
      <c r="B209" s="168" t="str">
        <f>IF(Exploitation!B88="","",Exploitation!B88)</f>
        <v/>
      </c>
      <c r="C209" s="169">
        <f>K172</f>
        <v>0</v>
      </c>
      <c r="D209" s="169">
        <f t="shared" ref="C209:D213" si="151">L172</f>
        <v>0</v>
      </c>
      <c r="E209" s="169" t="str">
        <f t="shared" ref="E209:F213" si="152">R172</f>
        <v/>
      </c>
      <c r="F209" s="169" t="str">
        <f t="shared" si="152"/>
        <v/>
      </c>
      <c r="G209" s="169">
        <f>IF(ISERROR(C209*'Données d''entrée'!$C$421),"",C209*'Données d''entrée'!$C$421)</f>
        <v>0</v>
      </c>
      <c r="H209" s="169">
        <f>IF(ISERROR(D209*'Données d''entrée'!$C$422),"",D209*'Données d''entrée'!$C$422)</f>
        <v>0</v>
      </c>
      <c r="I209" s="169">
        <f>SUMIF($B$194:$B$198,B209,$K$194:$K$198)+SUMIF($B$194:$B$198,B209,$M$194:$M$198)</f>
        <v>0</v>
      </c>
      <c r="J209" s="169">
        <f>SUMIF($B$194:$B$198,B209,$L$194:$L$198)</f>
        <v>0</v>
      </c>
      <c r="K209" s="169">
        <f>IF(ISERROR(C209*'Données d''entrée'!$C$423),"",C209*'Données d''entrée'!$C$423)</f>
        <v>0</v>
      </c>
      <c r="L209" s="169">
        <f>IF(ISERROR(D209*'Données d''entrée'!$C$424),"",D209*'Données d''entrée'!$C$424)</f>
        <v>0</v>
      </c>
      <c r="M209" s="169">
        <f>IF(ISERROR(C209*'Données d''entrée'!$C$425),"",C209*'Données d''entrée'!$C$425)</f>
        <v>0</v>
      </c>
      <c r="N209" s="169" t="str">
        <f>IF(ISERROR(C209-E209-G209-I209-K209-M209),"",C209-E209-G209-I209-K209-M209)</f>
        <v/>
      </c>
      <c r="O209" s="170" t="str">
        <f>IF(ISERROR(D209-F209-H209-J209-L209),"",D209-F209-H209-J209-L209)</f>
        <v/>
      </c>
      <c r="P209" s="169">
        <f>Z172</f>
        <v>0</v>
      </c>
      <c r="Q209" s="169">
        <f>AA172</f>
        <v>0</v>
      </c>
      <c r="R209" s="169" t="str">
        <f>AG172</f>
        <v/>
      </c>
      <c r="S209" s="169" t="str">
        <f>AH172</f>
        <v/>
      </c>
      <c r="T209" s="169">
        <f>IF(ISERROR(P209*'Données d''entrée'!$C$421),"",P209*'Données d''entrée'!$C$421)</f>
        <v>0</v>
      </c>
      <c r="U209" s="169">
        <f>IF(ISERROR(Q209*'Données d''entrée'!$C$422),"",Q209*'Données d''entrée'!$C$422)</f>
        <v>0</v>
      </c>
      <c r="V209" s="169">
        <f>SUMIF($B$194:$B$198,B209,$S$194:$S$198)+SUMIF($B$194:$B$198,B209,$U$194:$U$198)</f>
        <v>0</v>
      </c>
      <c r="W209" s="169">
        <f>SUMIF($B$194:$B$198,B209,$T$194:$T$198)</f>
        <v>0</v>
      </c>
      <c r="X209" s="169">
        <f>IF(ISERROR(P209*'Données d''entrée'!$C$423),"",P209*'Données d''entrée'!$C$423)</f>
        <v>0</v>
      </c>
      <c r="Y209" s="169">
        <f>IF(ISERROR(Q209*'Données d''entrée'!$C$424),"",Q209*'Données d''entrée'!$C$424)</f>
        <v>0</v>
      </c>
      <c r="Z209" s="169">
        <f>IF(ISERROR(P209*'Données d''entrée'!$C$425),"",P209*'Données d''entrée'!$C$425)</f>
        <v>0</v>
      </c>
      <c r="AA209" s="169" t="str">
        <f>IF(ISERROR(P209-R209-T209-V209-X209-Z209),"",P209-R209-T209-V209-X209-Z209)</f>
        <v/>
      </c>
      <c r="AB209" s="169" t="str">
        <f>IF(ISERROR(Q209-S209-U209-W209-Y209),"",Q209-S209-U209-W209-Y209)</f>
        <v/>
      </c>
      <c r="AD209" s="171">
        <f>SUM(G209,H209,T209,U209)</f>
        <v>0</v>
      </c>
      <c r="AE209" s="169">
        <f>SUM(M209,Z209)</f>
        <v>0</v>
      </c>
      <c r="AF209" s="171">
        <f>SUM(K209,L209,X209,Y209)</f>
        <v>0</v>
      </c>
      <c r="AH209" s="195">
        <f>IF(ISERROR(H172-R172+W172-AG172-G209-I209-K209-M209-T209-V209-X209-Z209),0,H172-R172+W172-AG172-G209-I209-K209-M209-T209-V209-X209-Z209)</f>
        <v>0</v>
      </c>
      <c r="AI209" s="195">
        <f>IF(ISERROR(I172-S172+X172-AH172-H209-J209-L209-U209-W209-Y209),0,I172-S172+X172-AH172-H209-J209-L209-U209-W209-Y209)</f>
        <v>0</v>
      </c>
      <c r="AJ209" s="195">
        <f>AH209+AI209</f>
        <v>0</v>
      </c>
    </row>
    <row r="210" spans="1:36" hidden="1" x14ac:dyDescent="0.35">
      <c r="A210" s="130">
        <v>2</v>
      </c>
      <c r="B210" s="168" t="str">
        <f>IF(Exploitation!B89="","",Exploitation!B89)</f>
        <v/>
      </c>
      <c r="C210" s="169">
        <f t="shared" si="151"/>
        <v>0</v>
      </c>
      <c r="D210" s="169">
        <f t="shared" si="151"/>
        <v>0</v>
      </c>
      <c r="E210" s="169" t="str">
        <f t="shared" si="152"/>
        <v/>
      </c>
      <c r="F210" s="169" t="str">
        <f t="shared" si="152"/>
        <v/>
      </c>
      <c r="G210" s="169">
        <f>IF(ISERROR(C210*'Données d''entrée'!$C$421),"",C210*'Données d''entrée'!$C$421)</f>
        <v>0</v>
      </c>
      <c r="H210" s="169">
        <f>IF(ISERROR(D210*'Données d''entrée'!$C$422),"",D210*'Données d''entrée'!$C$422)</f>
        <v>0</v>
      </c>
      <c r="I210" s="169">
        <f t="shared" ref="I210:I213" si="153">SUMIF($B$194:$B$198,B210,$K$194:$K$198)+SUMIF($B$194:$B$198,B210,$M$194:$M$198)</f>
        <v>0</v>
      </c>
      <c r="J210" s="169">
        <f t="shared" ref="J210:J213" si="154">SUMIF($B$194:$B$198,B210,$L$194:$L$198)</f>
        <v>0</v>
      </c>
      <c r="K210" s="169">
        <f>IF(ISERROR(C210*'Données d''entrée'!$C$423),"",C210*'Données d''entrée'!$C$423)</f>
        <v>0</v>
      </c>
      <c r="L210" s="169">
        <f>IF(ISERROR(D210*'Données d''entrée'!$C$424),"",D210*'Données d''entrée'!$C$424)</f>
        <v>0</v>
      </c>
      <c r="M210" s="169">
        <f>IF(ISERROR(C210*'Données d''entrée'!$C$425),"",C210*'Données d''entrée'!$C$425)</f>
        <v>0</v>
      </c>
      <c r="N210" s="169" t="str">
        <f t="shared" ref="N210:N213" si="155">IF(ISERROR(C210-E210-G210-I210-K210-M210),"",C210-E210-G210-I210-K210-M210)</f>
        <v/>
      </c>
      <c r="O210" s="170" t="str">
        <f t="shared" ref="O210:O213" si="156">IF(ISERROR(D210-F210-H210-J210-L210),"",D210-F210-H210-J210-L210)</f>
        <v/>
      </c>
      <c r="P210" s="169">
        <f t="shared" ref="P210:P213" si="157">Z173</f>
        <v>0</v>
      </c>
      <c r="Q210" s="169">
        <f t="shared" ref="Q210:Q213" si="158">AA173</f>
        <v>0</v>
      </c>
      <c r="R210" s="169" t="str">
        <f t="shared" ref="R210:R213" si="159">AG173</f>
        <v/>
      </c>
      <c r="S210" s="169" t="str">
        <f t="shared" ref="S210:S213" si="160">AH173</f>
        <v/>
      </c>
      <c r="T210" s="169">
        <f>IF(ISERROR(P210*'Données d''entrée'!$C$421),"",P210*'Données d''entrée'!$C$421)</f>
        <v>0</v>
      </c>
      <c r="U210" s="169">
        <f>IF(ISERROR(Q210*'Données d''entrée'!$C$422),"",Q210*'Données d''entrée'!$C$422)</f>
        <v>0</v>
      </c>
      <c r="V210" s="169">
        <f t="shared" ref="V210:V213" si="161">SUMIF($B$194:$B$198,B210,$S$194:$S$198)+SUMIF($B$194:$B$198,B210,$U$194:$U$198)</f>
        <v>0</v>
      </c>
      <c r="W210" s="169">
        <f t="shared" ref="W210:W213" si="162">SUMIF($B$194:$B$198,B210,$T$194:$T$198)</f>
        <v>0</v>
      </c>
      <c r="X210" s="169">
        <f>IF(ISERROR(P210*'Données d''entrée'!$C$423),"",P210*'Données d''entrée'!$C$423)</f>
        <v>0</v>
      </c>
      <c r="Y210" s="169">
        <f>IF(ISERROR(Q210*'Données d''entrée'!$C$424),"",Q210*'Données d''entrée'!$C$424)</f>
        <v>0</v>
      </c>
      <c r="Z210" s="169">
        <f>IF(ISERROR(P210*'Données d''entrée'!$C$425),"",P210*'Données d''entrée'!$C$425)</f>
        <v>0</v>
      </c>
      <c r="AA210" s="169" t="str">
        <f t="shared" ref="AA210:AA213" si="163">IF(ISERROR(P210-R210-T210-V210-X210-Z210),"",P210-R210-T210-V210-X210-Z210)</f>
        <v/>
      </c>
      <c r="AB210" s="169" t="str">
        <f t="shared" ref="AB210:AB213" si="164">IF(ISERROR(Q210-S210-U210-W210-Y210),"",Q210-S210-U210-W210-Y210)</f>
        <v/>
      </c>
      <c r="AD210" s="171">
        <f>SUM(G210,H210,T210,U210)</f>
        <v>0</v>
      </c>
      <c r="AE210" s="169">
        <f>SUM(M210,Z210)</f>
        <v>0</v>
      </c>
      <c r="AF210" s="171">
        <f>SUM(K210,L210,X210,Y210)</f>
        <v>0</v>
      </c>
      <c r="AH210" s="195">
        <f t="shared" ref="AH210:AH213" si="165">IF(ISERROR(H173-R173+W173-AG173-G210-I210-K210-M210-T210-V210-X210-Z210),0,H173-R173+W173-AG173-G210-I210-K210-M210-T210-V210-X210-Z210)</f>
        <v>0</v>
      </c>
      <c r="AI210" s="195">
        <f t="shared" ref="AI210:AI213" si="166">IF(ISERROR(I173-S173+X173-AH173-H210-J210-L210-U210-W210-Y210),0,I173-S173+X173-AH173-H210-J210-L210-U210-W210-Y210)</f>
        <v>0</v>
      </c>
      <c r="AJ210" s="195">
        <f t="shared" ref="AJ210:AJ213" si="167">AH210+AI210</f>
        <v>0</v>
      </c>
    </row>
    <row r="211" spans="1:36" hidden="1" x14ac:dyDescent="0.35">
      <c r="A211" s="130">
        <v>3</v>
      </c>
      <c r="B211" s="168" t="str">
        <f>IF(Exploitation!B90="","",Exploitation!B90)</f>
        <v/>
      </c>
      <c r="C211" s="169">
        <f t="shared" si="151"/>
        <v>0</v>
      </c>
      <c r="D211" s="169">
        <f t="shared" si="151"/>
        <v>0</v>
      </c>
      <c r="E211" s="169" t="str">
        <f t="shared" si="152"/>
        <v/>
      </c>
      <c r="F211" s="169" t="str">
        <f t="shared" si="152"/>
        <v/>
      </c>
      <c r="G211" s="169">
        <f>IF(ISERROR(C211*'Données d''entrée'!$C$421),"",C211*'Données d''entrée'!$C$421)</f>
        <v>0</v>
      </c>
      <c r="H211" s="169">
        <f>IF(ISERROR(D211*'Données d''entrée'!$C$422),"",D211*'Données d''entrée'!$C$422)</f>
        <v>0</v>
      </c>
      <c r="I211" s="169">
        <f t="shared" si="153"/>
        <v>0</v>
      </c>
      <c r="J211" s="169">
        <f t="shared" si="154"/>
        <v>0</v>
      </c>
      <c r="K211" s="169">
        <f>IF(ISERROR(C211*'Données d''entrée'!$C$423),"",C211*'Données d''entrée'!$C$423)</f>
        <v>0</v>
      </c>
      <c r="L211" s="169">
        <f>IF(ISERROR(D211*'Données d''entrée'!$C$424),"",D211*'Données d''entrée'!$C$424)</f>
        <v>0</v>
      </c>
      <c r="M211" s="169">
        <f>IF(ISERROR(C211*'Données d''entrée'!$C$425),"",C211*'Données d''entrée'!$C$425)</f>
        <v>0</v>
      </c>
      <c r="N211" s="169" t="str">
        <f t="shared" si="155"/>
        <v/>
      </c>
      <c r="O211" s="170" t="str">
        <f t="shared" si="156"/>
        <v/>
      </c>
      <c r="P211" s="169">
        <f t="shared" si="157"/>
        <v>0</v>
      </c>
      <c r="Q211" s="169">
        <f t="shared" si="158"/>
        <v>0</v>
      </c>
      <c r="R211" s="169" t="str">
        <f t="shared" si="159"/>
        <v/>
      </c>
      <c r="S211" s="169" t="str">
        <f t="shared" si="160"/>
        <v/>
      </c>
      <c r="T211" s="169">
        <f>IF(ISERROR(P211*'Données d''entrée'!$C$421),"",P211*'Données d''entrée'!$C$421)</f>
        <v>0</v>
      </c>
      <c r="U211" s="169">
        <f>IF(ISERROR(Q211*'Données d''entrée'!$C$422),"",Q211*'Données d''entrée'!$C$422)</f>
        <v>0</v>
      </c>
      <c r="V211" s="169">
        <f t="shared" si="161"/>
        <v>0</v>
      </c>
      <c r="W211" s="169">
        <f t="shared" si="162"/>
        <v>0</v>
      </c>
      <c r="X211" s="169">
        <f>IF(ISERROR(P211*'Données d''entrée'!$C$423),"",P211*'Données d''entrée'!$C$423)</f>
        <v>0</v>
      </c>
      <c r="Y211" s="169">
        <f>IF(ISERROR(Q211*'Données d''entrée'!$C$424),"",Q211*'Données d''entrée'!$C$424)</f>
        <v>0</v>
      </c>
      <c r="Z211" s="169">
        <f>IF(ISERROR(P211*'Données d''entrée'!$C$425),"",P211*'Données d''entrée'!$C$425)</f>
        <v>0</v>
      </c>
      <c r="AA211" s="169" t="str">
        <f t="shared" si="163"/>
        <v/>
      </c>
      <c r="AB211" s="169" t="str">
        <f t="shared" si="164"/>
        <v/>
      </c>
      <c r="AD211" s="171">
        <f>SUM(G211,H211,T211,U211)</f>
        <v>0</v>
      </c>
      <c r="AE211" s="169">
        <f>SUM(M211,Z211)</f>
        <v>0</v>
      </c>
      <c r="AF211" s="171">
        <f>SUM(K211,L211,X211,Y211)</f>
        <v>0</v>
      </c>
      <c r="AH211" s="195">
        <f t="shared" si="165"/>
        <v>0</v>
      </c>
      <c r="AI211" s="195">
        <f t="shared" si="166"/>
        <v>0</v>
      </c>
      <c r="AJ211" s="195">
        <f t="shared" si="167"/>
        <v>0</v>
      </c>
    </row>
    <row r="212" spans="1:36" hidden="1" x14ac:dyDescent="0.35">
      <c r="A212" s="130">
        <v>4</v>
      </c>
      <c r="B212" s="168" t="str">
        <f>IF(Exploitation!B91="","",Exploitation!B91)</f>
        <v/>
      </c>
      <c r="C212" s="169">
        <f t="shared" si="151"/>
        <v>0</v>
      </c>
      <c r="D212" s="169">
        <f t="shared" si="151"/>
        <v>0</v>
      </c>
      <c r="E212" s="169" t="str">
        <f t="shared" si="152"/>
        <v/>
      </c>
      <c r="F212" s="169" t="str">
        <f t="shared" si="152"/>
        <v/>
      </c>
      <c r="G212" s="169">
        <f>IF(ISERROR(C212*'Données d''entrée'!$C$421),"",C212*'Données d''entrée'!$C$421)</f>
        <v>0</v>
      </c>
      <c r="H212" s="169">
        <f>IF(ISERROR(D212*'Données d''entrée'!$C$422),"",D212*'Données d''entrée'!$C$422)</f>
        <v>0</v>
      </c>
      <c r="I212" s="169">
        <f t="shared" si="153"/>
        <v>0</v>
      </c>
      <c r="J212" s="169">
        <f t="shared" si="154"/>
        <v>0</v>
      </c>
      <c r="K212" s="169">
        <f>IF(ISERROR(C212*'Données d''entrée'!$C$423),"",C212*'Données d''entrée'!$C$423)</f>
        <v>0</v>
      </c>
      <c r="L212" s="169">
        <f>IF(ISERROR(D212*'Données d''entrée'!$C$424),"",D212*'Données d''entrée'!$C$424)</f>
        <v>0</v>
      </c>
      <c r="M212" s="169">
        <f>IF(ISERROR(C212*'Données d''entrée'!$C$425),"",C212*'Données d''entrée'!$C$425)</f>
        <v>0</v>
      </c>
      <c r="N212" s="169" t="str">
        <f t="shared" si="155"/>
        <v/>
      </c>
      <c r="O212" s="170" t="str">
        <f t="shared" si="156"/>
        <v/>
      </c>
      <c r="P212" s="169">
        <f t="shared" si="157"/>
        <v>0</v>
      </c>
      <c r="Q212" s="169">
        <f t="shared" si="158"/>
        <v>0</v>
      </c>
      <c r="R212" s="169" t="str">
        <f t="shared" si="159"/>
        <v/>
      </c>
      <c r="S212" s="169" t="str">
        <f t="shared" si="160"/>
        <v/>
      </c>
      <c r="T212" s="169">
        <f>IF(ISERROR(P212*'Données d''entrée'!$C$421),"",P212*'Données d''entrée'!$C$421)</f>
        <v>0</v>
      </c>
      <c r="U212" s="169">
        <f>IF(ISERROR(Q212*'Données d''entrée'!$C$422),"",Q212*'Données d''entrée'!$C$422)</f>
        <v>0</v>
      </c>
      <c r="V212" s="169">
        <f t="shared" si="161"/>
        <v>0</v>
      </c>
      <c r="W212" s="169">
        <f t="shared" si="162"/>
        <v>0</v>
      </c>
      <c r="X212" s="169">
        <f>IF(ISERROR(P212*'Données d''entrée'!$C$423),"",P212*'Données d''entrée'!$C$423)</f>
        <v>0</v>
      </c>
      <c r="Y212" s="169">
        <f>IF(ISERROR(Q212*'Données d''entrée'!$C$424),"",Q212*'Données d''entrée'!$C$424)</f>
        <v>0</v>
      </c>
      <c r="Z212" s="169">
        <f>IF(ISERROR(P212*'Données d''entrée'!$C$425),"",P212*'Données d''entrée'!$C$425)</f>
        <v>0</v>
      </c>
      <c r="AA212" s="169" t="str">
        <f t="shared" si="163"/>
        <v/>
      </c>
      <c r="AB212" s="169" t="str">
        <f t="shared" si="164"/>
        <v/>
      </c>
      <c r="AD212" s="171">
        <f>SUM(G212,H212,T212,U212)</f>
        <v>0</v>
      </c>
      <c r="AE212" s="169">
        <f>SUM(M212,Z212)</f>
        <v>0</v>
      </c>
      <c r="AF212" s="171">
        <f>SUM(K212,L212,X212,Y212)</f>
        <v>0</v>
      </c>
      <c r="AH212" s="195">
        <f t="shared" si="165"/>
        <v>0</v>
      </c>
      <c r="AI212" s="195">
        <f t="shared" si="166"/>
        <v>0</v>
      </c>
      <c r="AJ212" s="195">
        <f t="shared" si="167"/>
        <v>0</v>
      </c>
    </row>
    <row r="213" spans="1:36" hidden="1" x14ac:dyDescent="0.35">
      <c r="A213" s="130">
        <v>5</v>
      </c>
      <c r="B213" s="168" t="str">
        <f>IF(Exploitation!B92="","",Exploitation!B92)</f>
        <v/>
      </c>
      <c r="C213" s="169">
        <f t="shared" si="151"/>
        <v>0</v>
      </c>
      <c r="D213" s="169">
        <f t="shared" si="151"/>
        <v>0</v>
      </c>
      <c r="E213" s="169" t="str">
        <f t="shared" si="152"/>
        <v/>
      </c>
      <c r="F213" s="169" t="str">
        <f t="shared" si="152"/>
        <v/>
      </c>
      <c r="G213" s="169">
        <f>IF(ISERROR(C213*'Données d''entrée'!$C$421),"",C213*'Données d''entrée'!$C$421)</f>
        <v>0</v>
      </c>
      <c r="H213" s="169">
        <f>IF(ISERROR(D213*'Données d''entrée'!$C$422),"",D213*'Données d''entrée'!$C$422)</f>
        <v>0</v>
      </c>
      <c r="I213" s="169">
        <f t="shared" si="153"/>
        <v>0</v>
      </c>
      <c r="J213" s="169">
        <f t="shared" si="154"/>
        <v>0</v>
      </c>
      <c r="K213" s="169">
        <f>IF(ISERROR(C213*'Données d''entrée'!$C$423),"",C213*'Données d''entrée'!$C$423)</f>
        <v>0</v>
      </c>
      <c r="L213" s="169">
        <f>IF(ISERROR(D213*'Données d''entrée'!$C$424),"",D213*'Données d''entrée'!$C$424)</f>
        <v>0</v>
      </c>
      <c r="M213" s="169">
        <f>IF(ISERROR(C213*'Données d''entrée'!$C$425),"",C213*'Données d''entrée'!$C$425)</f>
        <v>0</v>
      </c>
      <c r="N213" s="169" t="str">
        <f t="shared" si="155"/>
        <v/>
      </c>
      <c r="O213" s="170" t="str">
        <f t="shared" si="156"/>
        <v/>
      </c>
      <c r="P213" s="169">
        <f t="shared" si="157"/>
        <v>0</v>
      </c>
      <c r="Q213" s="169">
        <f t="shared" si="158"/>
        <v>0</v>
      </c>
      <c r="R213" s="169" t="str">
        <f t="shared" si="159"/>
        <v/>
      </c>
      <c r="S213" s="169" t="str">
        <f t="shared" si="160"/>
        <v/>
      </c>
      <c r="T213" s="169">
        <f>IF(ISERROR(P213*'Données d''entrée'!$C$421),"",P213*'Données d''entrée'!$C$421)</f>
        <v>0</v>
      </c>
      <c r="U213" s="169">
        <f>IF(ISERROR(Q213*'Données d''entrée'!$C$422),"",Q213*'Données d''entrée'!$C$422)</f>
        <v>0</v>
      </c>
      <c r="V213" s="169">
        <f t="shared" si="161"/>
        <v>0</v>
      </c>
      <c r="W213" s="169">
        <f t="shared" si="162"/>
        <v>0</v>
      </c>
      <c r="X213" s="169">
        <f>IF(ISERROR(P213*'Données d''entrée'!$C$423),"",P213*'Données d''entrée'!$C$423)</f>
        <v>0</v>
      </c>
      <c r="Y213" s="169">
        <f>IF(ISERROR(Q213*'Données d''entrée'!$C$424),"",Q213*'Données d''entrée'!$C$424)</f>
        <v>0</v>
      </c>
      <c r="Z213" s="169">
        <f>IF(ISERROR(P213*'Données d''entrée'!$C$425),"",P213*'Données d''entrée'!$C$425)</f>
        <v>0</v>
      </c>
      <c r="AA213" s="169" t="str">
        <f t="shared" si="163"/>
        <v/>
      </c>
      <c r="AB213" s="169" t="str">
        <f t="shared" si="164"/>
        <v/>
      </c>
      <c r="AD213" s="171">
        <f>SUM(G213,H213,T213,U213)</f>
        <v>0</v>
      </c>
      <c r="AE213" s="169">
        <f>SUM(M213,Z213)</f>
        <v>0</v>
      </c>
      <c r="AF213" s="171">
        <f>SUM(K213,L213,X213,Y213)</f>
        <v>0</v>
      </c>
      <c r="AH213" s="195">
        <f t="shared" si="165"/>
        <v>0</v>
      </c>
      <c r="AI213" s="195">
        <f t="shared" si="166"/>
        <v>0</v>
      </c>
      <c r="AJ213" s="195">
        <f t="shared" si="167"/>
        <v>0</v>
      </c>
    </row>
    <row r="214" spans="1:36" hidden="1" x14ac:dyDescent="0.35"/>
    <row r="215" spans="1:36" hidden="1" x14ac:dyDescent="0.35"/>
    <row r="216" spans="1:36" hidden="1" x14ac:dyDescent="0.35">
      <c r="B216" s="50" t="s">
        <v>214</v>
      </c>
    </row>
    <row r="217" spans="1:36" hidden="1" x14ac:dyDescent="0.35">
      <c r="B217" s="51" t="s">
        <v>155</v>
      </c>
    </row>
    <row r="218" spans="1:36" ht="15" hidden="1" customHeight="1" x14ac:dyDescent="0.35">
      <c r="B218" s="172"/>
      <c r="C218" s="522" t="s">
        <v>203</v>
      </c>
      <c r="D218" s="523"/>
      <c r="E218" s="523"/>
      <c r="F218" s="523"/>
      <c r="G218" s="524"/>
      <c r="H218" s="522" t="s">
        <v>205</v>
      </c>
      <c r="I218" s="523"/>
      <c r="J218" s="523"/>
      <c r="K218" s="523"/>
      <c r="L218" s="524"/>
      <c r="M218" s="522" t="s">
        <v>216</v>
      </c>
      <c r="N218" s="523"/>
      <c r="O218" s="524"/>
      <c r="P218" s="172"/>
    </row>
    <row r="219" spans="1:36" hidden="1" x14ac:dyDescent="0.35">
      <c r="B219" s="112" t="s">
        <v>123</v>
      </c>
      <c r="C219" s="135" t="s">
        <v>295</v>
      </c>
      <c r="D219" s="135" t="s">
        <v>296</v>
      </c>
      <c r="E219" s="135" t="s">
        <v>297</v>
      </c>
      <c r="F219" s="135" t="s">
        <v>298</v>
      </c>
      <c r="G219" s="135" t="s">
        <v>213</v>
      </c>
      <c r="H219" s="135" t="s">
        <v>299</v>
      </c>
      <c r="I219" s="135" t="s">
        <v>296</v>
      </c>
      <c r="J219" s="135" t="s">
        <v>297</v>
      </c>
      <c r="K219" s="135" t="s">
        <v>298</v>
      </c>
      <c r="L219" s="135" t="s">
        <v>213</v>
      </c>
      <c r="M219" s="135" t="s">
        <v>297</v>
      </c>
      <c r="N219" s="135" t="s">
        <v>298</v>
      </c>
      <c r="O219" s="135" t="s">
        <v>213</v>
      </c>
      <c r="P219" s="173" t="s">
        <v>194</v>
      </c>
    </row>
    <row r="220" spans="1:36" hidden="1" x14ac:dyDescent="0.35">
      <c r="A220" s="174">
        <v>1</v>
      </c>
      <c r="B220" s="139" t="str">
        <f>IF(Exploitation!B88="","",Exploitation!B88)</f>
        <v/>
      </c>
      <c r="C220" s="40">
        <f>'Données d''entrée'!$D$356</f>
        <v>0.81</v>
      </c>
      <c r="D220" s="40">
        <f>'Données d''entrée'!$D$359</f>
        <v>0.4</v>
      </c>
      <c r="E220" s="117" t="str">
        <f>IF(ISERROR(C220*N209),"",C220*N209)</f>
        <v/>
      </c>
      <c r="F220" s="117" t="str">
        <f t="shared" ref="E220:F224" si="168">IF(ISERROR(D220*O209),"",D220*O209)</f>
        <v/>
      </c>
      <c r="G220" s="117" t="str">
        <f>IF(ISERROR(E220+F220),"",E220+F220)</f>
        <v/>
      </c>
      <c r="H220" s="40">
        <f>'Données d''entrée'!$H$356</f>
        <v>0.81</v>
      </c>
      <c r="I220" s="40">
        <f>'Données d''entrée'!$G$359</f>
        <v>0.28999999999999998</v>
      </c>
      <c r="J220" s="117" t="str">
        <f t="shared" ref="J220:K224" si="169">IF(ISERROR(H220*AA209),"",H220*AA209)</f>
        <v/>
      </c>
      <c r="K220" s="117" t="str">
        <f t="shared" si="169"/>
        <v/>
      </c>
      <c r="L220" s="117" t="str">
        <f>IF(ISERROR(J220+K220),"",J220+K220)</f>
        <v/>
      </c>
      <c r="M220" s="117" t="str">
        <f>IF(ISERROR(E220+J220),"",E220+J220)</f>
        <v/>
      </c>
      <c r="N220" s="117" t="str">
        <f>IF(ISERROR(F220+K220),"",F220+K220)</f>
        <v/>
      </c>
      <c r="O220" s="117" t="str">
        <f>IF(ISERROR(G220+L220),"",G220+L220)</f>
        <v/>
      </c>
      <c r="P220" s="175" t="str">
        <f>IF(ISERROR(G220+L220-O220),"",G220+L220-O220)</f>
        <v/>
      </c>
    </row>
    <row r="221" spans="1:36" hidden="1" x14ac:dyDescent="0.35">
      <c r="A221" s="174">
        <v>2</v>
      </c>
      <c r="B221" s="139" t="str">
        <f>IF(Exploitation!B89="","",Exploitation!B89)</f>
        <v/>
      </c>
      <c r="C221" s="40">
        <f>'Données d''entrée'!$D$356</f>
        <v>0.81</v>
      </c>
      <c r="D221" s="40">
        <f>'Données d''entrée'!$D$359</f>
        <v>0.4</v>
      </c>
      <c r="E221" s="117" t="str">
        <f t="shared" si="168"/>
        <v/>
      </c>
      <c r="F221" s="117" t="str">
        <f t="shared" si="168"/>
        <v/>
      </c>
      <c r="G221" s="117" t="str">
        <f t="shared" ref="G221:G224" si="170">IF(ISERROR(E221+F221),"",E221+F221)</f>
        <v/>
      </c>
      <c r="H221" s="40">
        <f>'Données d''entrée'!$H$356</f>
        <v>0.81</v>
      </c>
      <c r="I221" s="40">
        <f>'Données d''entrée'!$G$359</f>
        <v>0.28999999999999998</v>
      </c>
      <c r="J221" s="117" t="str">
        <f t="shared" si="169"/>
        <v/>
      </c>
      <c r="K221" s="117" t="str">
        <f t="shared" si="169"/>
        <v/>
      </c>
      <c r="L221" s="117" t="str">
        <f t="shared" ref="L221:L224" si="171">IF(ISERROR(J221+K221),"",J221+K221)</f>
        <v/>
      </c>
      <c r="M221" s="117" t="str">
        <f t="shared" ref="M221:M224" si="172">IF(ISERROR(E221+J221),"",E221+J221)</f>
        <v/>
      </c>
      <c r="N221" s="117" t="str">
        <f t="shared" ref="N221:O224" si="173">IF(ISERROR(F221+K221),"",F221+K221)</f>
        <v/>
      </c>
      <c r="O221" s="117" t="str">
        <f t="shared" si="173"/>
        <v/>
      </c>
      <c r="P221" s="175" t="str">
        <f t="shared" ref="P221:P224" si="174">IF(ISERROR(G221+L221-O221),"",G221+L221-O221)</f>
        <v/>
      </c>
    </row>
    <row r="222" spans="1:36" hidden="1" x14ac:dyDescent="0.35">
      <c r="A222" s="174">
        <v>3</v>
      </c>
      <c r="B222" s="139" t="str">
        <f>IF(Exploitation!B90="","",Exploitation!B90)</f>
        <v/>
      </c>
      <c r="C222" s="40">
        <f>'Données d''entrée'!$D$356</f>
        <v>0.81</v>
      </c>
      <c r="D222" s="40">
        <f>'Données d''entrée'!$D$359</f>
        <v>0.4</v>
      </c>
      <c r="E222" s="117" t="str">
        <f t="shared" si="168"/>
        <v/>
      </c>
      <c r="F222" s="117" t="str">
        <f t="shared" si="168"/>
        <v/>
      </c>
      <c r="G222" s="117" t="str">
        <f t="shared" si="170"/>
        <v/>
      </c>
      <c r="H222" s="40">
        <f>'Données d''entrée'!$H$356</f>
        <v>0.81</v>
      </c>
      <c r="I222" s="40">
        <f>'Données d''entrée'!$G$359</f>
        <v>0.28999999999999998</v>
      </c>
      <c r="J222" s="117" t="str">
        <f t="shared" si="169"/>
        <v/>
      </c>
      <c r="K222" s="117" t="str">
        <f t="shared" si="169"/>
        <v/>
      </c>
      <c r="L222" s="117" t="str">
        <f t="shared" si="171"/>
        <v/>
      </c>
      <c r="M222" s="117" t="str">
        <f t="shared" si="172"/>
        <v/>
      </c>
      <c r="N222" s="117" t="str">
        <f t="shared" si="173"/>
        <v/>
      </c>
      <c r="O222" s="117" t="str">
        <f t="shared" si="173"/>
        <v/>
      </c>
      <c r="P222" s="175" t="str">
        <f t="shared" si="174"/>
        <v/>
      </c>
    </row>
    <row r="223" spans="1:36" hidden="1" x14ac:dyDescent="0.35">
      <c r="A223" s="174">
        <v>4</v>
      </c>
      <c r="B223" s="139" t="str">
        <f>IF(Exploitation!B91="","",Exploitation!B91)</f>
        <v/>
      </c>
      <c r="C223" s="40">
        <f>'Données d''entrée'!$D$356</f>
        <v>0.81</v>
      </c>
      <c r="D223" s="40">
        <f>'Données d''entrée'!$D$359</f>
        <v>0.4</v>
      </c>
      <c r="E223" s="117" t="str">
        <f t="shared" si="168"/>
        <v/>
      </c>
      <c r="F223" s="117" t="str">
        <f t="shared" si="168"/>
        <v/>
      </c>
      <c r="G223" s="117" t="str">
        <f t="shared" si="170"/>
        <v/>
      </c>
      <c r="H223" s="40">
        <f>'Données d''entrée'!$H$356</f>
        <v>0.81</v>
      </c>
      <c r="I223" s="40">
        <f>'Données d''entrée'!$G$359</f>
        <v>0.28999999999999998</v>
      </c>
      <c r="J223" s="117" t="str">
        <f t="shared" si="169"/>
        <v/>
      </c>
      <c r="K223" s="117" t="str">
        <f t="shared" si="169"/>
        <v/>
      </c>
      <c r="L223" s="117" t="str">
        <f t="shared" si="171"/>
        <v/>
      </c>
      <c r="M223" s="117" t="str">
        <f t="shared" si="172"/>
        <v/>
      </c>
      <c r="N223" s="117" t="str">
        <f t="shared" si="173"/>
        <v/>
      </c>
      <c r="O223" s="117" t="str">
        <f t="shared" si="173"/>
        <v/>
      </c>
      <c r="P223" s="175" t="str">
        <f t="shared" si="174"/>
        <v/>
      </c>
    </row>
    <row r="224" spans="1:36" hidden="1" x14ac:dyDescent="0.35">
      <c r="A224" s="174">
        <v>5</v>
      </c>
      <c r="B224" s="139" t="str">
        <f>IF(Exploitation!B92="","",Exploitation!B92)</f>
        <v/>
      </c>
      <c r="C224" s="40">
        <f>'Données d''entrée'!$D$356</f>
        <v>0.81</v>
      </c>
      <c r="D224" s="40">
        <f>'Données d''entrée'!$D$359</f>
        <v>0.4</v>
      </c>
      <c r="E224" s="117" t="str">
        <f t="shared" si="168"/>
        <v/>
      </c>
      <c r="F224" s="117" t="str">
        <f t="shared" si="168"/>
        <v/>
      </c>
      <c r="G224" s="117" t="str">
        <f t="shared" si="170"/>
        <v/>
      </c>
      <c r="H224" s="40">
        <f>'Données d''entrée'!$H$356</f>
        <v>0.81</v>
      </c>
      <c r="I224" s="40">
        <f>'Données d''entrée'!$G$359</f>
        <v>0.28999999999999998</v>
      </c>
      <c r="J224" s="117" t="str">
        <f t="shared" si="169"/>
        <v/>
      </c>
      <c r="K224" s="117" t="str">
        <f t="shared" si="169"/>
        <v/>
      </c>
      <c r="L224" s="117" t="str">
        <f t="shared" si="171"/>
        <v/>
      </c>
      <c r="M224" s="117" t="str">
        <f t="shared" si="172"/>
        <v/>
      </c>
      <c r="N224" s="117" t="str">
        <f t="shared" si="173"/>
        <v/>
      </c>
      <c r="O224" s="117" t="str">
        <f t="shared" si="173"/>
        <v/>
      </c>
      <c r="P224" s="175" t="str">
        <f t="shared" si="174"/>
        <v/>
      </c>
    </row>
    <row r="225" spans="1:17" hidden="1" x14ac:dyDescent="0.35"/>
    <row r="226" spans="1:17" hidden="1" x14ac:dyDescent="0.35">
      <c r="B226" s="50" t="s">
        <v>215</v>
      </c>
    </row>
    <row r="227" spans="1:17" hidden="1" x14ac:dyDescent="0.35"/>
    <row r="228" spans="1:17" ht="43.5" hidden="1" x14ac:dyDescent="0.35">
      <c r="B228" s="112" t="s">
        <v>212</v>
      </c>
      <c r="C228" s="112" t="s">
        <v>152</v>
      </c>
      <c r="D228" s="167" t="s">
        <v>125</v>
      </c>
      <c r="E228" s="167" t="s">
        <v>309</v>
      </c>
      <c r="F228" s="112" t="s">
        <v>126</v>
      </c>
      <c r="G228" s="112" t="s">
        <v>127</v>
      </c>
      <c r="H228" s="112" t="s">
        <v>323</v>
      </c>
      <c r="I228" s="112" t="s">
        <v>324</v>
      </c>
      <c r="J228" s="112" t="s">
        <v>319</v>
      </c>
      <c r="K228" s="112" t="s">
        <v>320</v>
      </c>
      <c r="L228" s="112" t="s">
        <v>217</v>
      </c>
      <c r="M228" s="112" t="s">
        <v>321</v>
      </c>
      <c r="N228" s="112" t="s">
        <v>322</v>
      </c>
      <c r="O228" s="112" t="s">
        <v>218</v>
      </c>
      <c r="Q228" s="303" t="s">
        <v>659</v>
      </c>
    </row>
    <row r="229" spans="1:17" ht="61.5" hidden="1" customHeight="1" x14ac:dyDescent="0.35">
      <c r="A229" s="130">
        <v>1</v>
      </c>
      <c r="B229" s="131" t="str">
        <f>IF(Exploitation!B101="","",Exploitation!B101)</f>
        <v/>
      </c>
      <c r="C229" s="131" t="str">
        <f>IF(Exploitation!D101="","",Exploitation!D101)</f>
        <v/>
      </c>
      <c r="D229" s="131" t="str">
        <f>IF(Exploitation!C101="","",Exploitation!C101)</f>
        <v/>
      </c>
      <c r="E229" s="131" t="str">
        <f>IF(Exploitation!E101="","",Exploitation!E101)</f>
        <v/>
      </c>
      <c r="F229" s="156" t="str">
        <f>IF(Exploitation!F101="","",Exploitation!F101)</f>
        <v/>
      </c>
      <c r="G229" s="176" t="str">
        <f>IF(Exploitation!G101="","",Exploitation!G101)</f>
        <v/>
      </c>
      <c r="H229" s="177">
        <f>IF(ISERROR(VLOOKUP(F229,FA_epandage_solide,2,FALSE)),0,VLOOKUP(F229,FA_epandage_solide,2,FALSE))</f>
        <v>0</v>
      </c>
      <c r="I229" s="177">
        <f>IF(ISERROR(VLOOKUP(F229,FA_epandage_liquide,2,FALSE)),0,VLOOKUP(F229,FA_epandage_liquide,2,FALSE))</f>
        <v>0</v>
      </c>
      <c r="J229" s="117" t="str">
        <f>IF(C229="Solide",IF(ISERROR(VLOOKUP(D229,$B$220:$O$224,12,FALSE)*$G229),"",VLOOKUP(D229,$B$220:$O$224,12,FALSE)*$G229),"")</f>
        <v/>
      </c>
      <c r="K229" s="117" t="str">
        <f>IF(C229="Liquide",IF(ISERROR(VLOOKUP(D229,$B$220:$O$224,13,FALSE)*$G229),"",VLOOKUP(D229,$B$220:$O$224,13,FALSE)*$G229),"")</f>
        <v/>
      </c>
      <c r="L229" s="117">
        <f>SUM(J229:K229)</f>
        <v>0</v>
      </c>
      <c r="M229" s="117" t="str">
        <f>IF(ISERROR(J229*H229),"",J229*H229)</f>
        <v/>
      </c>
      <c r="N229" s="117" t="str">
        <f>IF(ISERROR(K229*I229),"",K229*I229)</f>
        <v/>
      </c>
      <c r="O229" s="117">
        <f>SUM(M229:N229)</f>
        <v>0</v>
      </c>
      <c r="Q229" s="186">
        <f>IF(E229='Données d''entrée'!$B$211,VLOOKUP(D229,$B$208:$AJ$213,35,FALSE)*G229,0)</f>
        <v>0</v>
      </c>
    </row>
    <row r="230" spans="1:17" hidden="1" x14ac:dyDescent="0.35">
      <c r="A230" s="130">
        <v>2</v>
      </c>
      <c r="B230" s="131" t="str">
        <f>IF(Exploitation!B102="","",Exploitation!B102)</f>
        <v/>
      </c>
      <c r="C230" s="131" t="str">
        <f>IF(Exploitation!D102="","",Exploitation!D102)</f>
        <v/>
      </c>
      <c r="D230" s="131" t="str">
        <f>IF(Exploitation!C102="","",Exploitation!C102)</f>
        <v/>
      </c>
      <c r="E230" s="131" t="str">
        <f>IF(Exploitation!E102="","",Exploitation!E102)</f>
        <v/>
      </c>
      <c r="F230" s="156" t="str">
        <f>IF(Exploitation!F102="","",Exploitation!F102)</f>
        <v/>
      </c>
      <c r="G230" s="176" t="str">
        <f>IF(Exploitation!G102="","",Exploitation!G102)</f>
        <v/>
      </c>
      <c r="H230" s="177">
        <f t="shared" ref="H230:H238" si="175">IF(ISERROR(VLOOKUP(F230,FA_epandage_solide,2,FALSE)),0,VLOOKUP(F230,FA_epandage_solide,2,FALSE))</f>
        <v>0</v>
      </c>
      <c r="I230" s="177">
        <f t="shared" ref="I230:I238" si="176">IF(ISERROR(VLOOKUP(F230,FA_epandage_liquide,2,FALSE)),0,VLOOKUP(F230,FA_epandage_liquide,2,FALSE))</f>
        <v>0</v>
      </c>
      <c r="J230" s="117" t="str">
        <f t="shared" ref="J230:J238" si="177">IF(C230="Solide",IF(ISERROR(VLOOKUP(D230,$B$220:$O$224,12,FALSE)*$G230),"",VLOOKUP(D230,$B$220:$O$224,12,FALSE)*$G230),"")</f>
        <v/>
      </c>
      <c r="K230" s="117" t="str">
        <f t="shared" ref="K230:K238" si="178">IF(C230="Liquide",IF(ISERROR(VLOOKUP(D230,$B$220:$O$224,13,FALSE)*$G230),"",VLOOKUP(D230,$B$220:$O$224,13,FALSE)*$G230),"")</f>
        <v/>
      </c>
      <c r="L230" s="117">
        <f t="shared" ref="L230:L238" si="179">SUM(J230:K230)</f>
        <v>0</v>
      </c>
      <c r="M230" s="117" t="str">
        <f>IF(ISERROR(J230*H230),"",J230*H230)</f>
        <v/>
      </c>
      <c r="N230" s="117" t="str">
        <f t="shared" ref="N230:N238" si="180">IF(ISERROR(K230*I230),"",K230*I230)</f>
        <v/>
      </c>
      <c r="O230" s="117">
        <f t="shared" ref="O230:O237" si="181">SUM(M230:N230)</f>
        <v>0</v>
      </c>
      <c r="Q230" s="186">
        <f>IF(E230='Données d''entrée'!$B$211,VLOOKUP(D230,$B$208:$AJ$213,35,FALSE)*G230,0)</f>
        <v>0</v>
      </c>
    </row>
    <row r="231" spans="1:17" hidden="1" x14ac:dyDescent="0.35">
      <c r="A231" s="130">
        <v>3</v>
      </c>
      <c r="B231" s="131" t="str">
        <f>IF(Exploitation!B103="","",Exploitation!B103)</f>
        <v/>
      </c>
      <c r="C231" s="131" t="str">
        <f>IF(Exploitation!D103="","",Exploitation!D103)</f>
        <v/>
      </c>
      <c r="D231" s="131" t="str">
        <f>IF(Exploitation!C103="","",Exploitation!C103)</f>
        <v/>
      </c>
      <c r="E231" s="131" t="str">
        <f>IF(Exploitation!E103="","",Exploitation!E103)</f>
        <v/>
      </c>
      <c r="F231" s="131" t="str">
        <f>IF(Exploitation!F103="","",Exploitation!F103)</f>
        <v/>
      </c>
      <c r="G231" s="176" t="str">
        <f>IF(Exploitation!G103="","",Exploitation!G103)</f>
        <v/>
      </c>
      <c r="H231" s="177">
        <f t="shared" si="175"/>
        <v>0</v>
      </c>
      <c r="I231" s="177">
        <f t="shared" si="176"/>
        <v>0</v>
      </c>
      <c r="J231" s="117" t="str">
        <f t="shared" si="177"/>
        <v/>
      </c>
      <c r="K231" s="117" t="str">
        <f t="shared" si="178"/>
        <v/>
      </c>
      <c r="L231" s="117">
        <f t="shared" si="179"/>
        <v>0</v>
      </c>
      <c r="M231" s="117" t="str">
        <f t="shared" ref="M231:M238" si="182">IF(ISERROR(J231*H231),"",J231*H231)</f>
        <v/>
      </c>
      <c r="N231" s="117" t="str">
        <f t="shared" si="180"/>
        <v/>
      </c>
      <c r="O231" s="117">
        <f t="shared" si="181"/>
        <v>0</v>
      </c>
      <c r="Q231" s="186">
        <f>IF(E231='Données d''entrée'!$B$211,VLOOKUP(D231,$B$208:$AJ$213,35,FALSE)*G231,0)</f>
        <v>0</v>
      </c>
    </row>
    <row r="232" spans="1:17" hidden="1" x14ac:dyDescent="0.35">
      <c r="A232" s="130">
        <v>4</v>
      </c>
      <c r="B232" s="131" t="str">
        <f>IF(Exploitation!B104="","",Exploitation!B104)</f>
        <v/>
      </c>
      <c r="C232" s="131" t="str">
        <f>IF(Exploitation!D104="","",Exploitation!D104)</f>
        <v/>
      </c>
      <c r="D232" s="131" t="str">
        <f>IF(Exploitation!C104="","",Exploitation!C104)</f>
        <v/>
      </c>
      <c r="E232" s="131" t="str">
        <f>IF(Exploitation!E104="","",Exploitation!E104)</f>
        <v/>
      </c>
      <c r="F232" s="131" t="str">
        <f>IF(Exploitation!F104="","",Exploitation!F104)</f>
        <v/>
      </c>
      <c r="G232" s="176" t="str">
        <f>IF(Exploitation!G104="","",Exploitation!G104)</f>
        <v/>
      </c>
      <c r="H232" s="177">
        <f t="shared" si="175"/>
        <v>0</v>
      </c>
      <c r="I232" s="177">
        <f t="shared" si="176"/>
        <v>0</v>
      </c>
      <c r="J232" s="117" t="str">
        <f t="shared" si="177"/>
        <v/>
      </c>
      <c r="K232" s="117" t="str">
        <f t="shared" si="178"/>
        <v/>
      </c>
      <c r="L232" s="117">
        <f t="shared" si="179"/>
        <v>0</v>
      </c>
      <c r="M232" s="117" t="str">
        <f t="shared" si="182"/>
        <v/>
      </c>
      <c r="N232" s="117" t="str">
        <f t="shared" si="180"/>
        <v/>
      </c>
      <c r="O232" s="117">
        <f t="shared" si="181"/>
        <v>0</v>
      </c>
      <c r="Q232" s="186">
        <f>IF(E232='Données d''entrée'!$B$211,VLOOKUP(D232,$B$208:$AJ$213,35,FALSE)*G232,0)</f>
        <v>0</v>
      </c>
    </row>
    <row r="233" spans="1:17" hidden="1" x14ac:dyDescent="0.35">
      <c r="A233" s="130">
        <v>5</v>
      </c>
      <c r="B233" s="131" t="str">
        <f>IF(Exploitation!B105="","",Exploitation!B105)</f>
        <v/>
      </c>
      <c r="C233" s="131" t="str">
        <f>IF(Exploitation!D105="","",Exploitation!D105)</f>
        <v/>
      </c>
      <c r="D233" s="131" t="str">
        <f>IF(Exploitation!C105="","",Exploitation!C105)</f>
        <v/>
      </c>
      <c r="E233" s="131" t="str">
        <f>IF(Exploitation!E105="","",Exploitation!E105)</f>
        <v/>
      </c>
      <c r="F233" s="131" t="str">
        <f>IF(Exploitation!F105="","",Exploitation!F105)</f>
        <v/>
      </c>
      <c r="G233" s="176" t="str">
        <f>IF(Exploitation!G105="","",Exploitation!G105)</f>
        <v/>
      </c>
      <c r="H233" s="177">
        <f t="shared" si="175"/>
        <v>0</v>
      </c>
      <c r="I233" s="177">
        <f t="shared" si="176"/>
        <v>0</v>
      </c>
      <c r="J233" s="117" t="str">
        <f t="shared" si="177"/>
        <v/>
      </c>
      <c r="K233" s="117" t="str">
        <f t="shared" si="178"/>
        <v/>
      </c>
      <c r="L233" s="117">
        <f t="shared" si="179"/>
        <v>0</v>
      </c>
      <c r="M233" s="117" t="str">
        <f t="shared" si="182"/>
        <v/>
      </c>
      <c r="N233" s="117" t="str">
        <f t="shared" si="180"/>
        <v/>
      </c>
      <c r="O233" s="117">
        <f t="shared" si="181"/>
        <v>0</v>
      </c>
      <c r="Q233" s="186">
        <f>IF(E233='Données d''entrée'!$B$211,VLOOKUP(D233,$B$208:$AJ$213,35,FALSE)*G233,0)</f>
        <v>0</v>
      </c>
    </row>
    <row r="234" spans="1:17" hidden="1" x14ac:dyDescent="0.35">
      <c r="A234" s="130">
        <v>6</v>
      </c>
      <c r="B234" s="131" t="str">
        <f>IF(Exploitation!B106="","",Exploitation!B106)</f>
        <v/>
      </c>
      <c r="C234" s="131" t="str">
        <f>IF(Exploitation!D106="","",Exploitation!D106)</f>
        <v/>
      </c>
      <c r="D234" s="131" t="str">
        <f>IF(Exploitation!C106="","",Exploitation!C106)</f>
        <v/>
      </c>
      <c r="E234" s="131" t="str">
        <f>IF(Exploitation!E106="","",Exploitation!E106)</f>
        <v/>
      </c>
      <c r="F234" s="131" t="str">
        <f>IF(Exploitation!F106="","",Exploitation!F106)</f>
        <v/>
      </c>
      <c r="G234" s="176" t="str">
        <f>IF(Exploitation!G106="","",Exploitation!G106)</f>
        <v/>
      </c>
      <c r="H234" s="177">
        <f t="shared" si="175"/>
        <v>0</v>
      </c>
      <c r="I234" s="177">
        <f t="shared" si="176"/>
        <v>0</v>
      </c>
      <c r="J234" s="117" t="str">
        <f t="shared" si="177"/>
        <v/>
      </c>
      <c r="K234" s="117" t="str">
        <f t="shared" si="178"/>
        <v/>
      </c>
      <c r="L234" s="117">
        <f t="shared" si="179"/>
        <v>0</v>
      </c>
      <c r="M234" s="117" t="str">
        <f t="shared" si="182"/>
        <v/>
      </c>
      <c r="N234" s="117" t="str">
        <f t="shared" si="180"/>
        <v/>
      </c>
      <c r="O234" s="117">
        <f t="shared" si="181"/>
        <v>0</v>
      </c>
      <c r="Q234" s="186">
        <f>IF(E234='Données d''entrée'!$B$211,VLOOKUP(D234,$B$208:$AJ$213,35,FALSE)*G234,0)</f>
        <v>0</v>
      </c>
    </row>
    <row r="235" spans="1:17" hidden="1" x14ac:dyDescent="0.35">
      <c r="A235" s="130">
        <v>7</v>
      </c>
      <c r="B235" s="131" t="str">
        <f>IF(Exploitation!B107="","",Exploitation!B107)</f>
        <v/>
      </c>
      <c r="C235" s="131" t="str">
        <f>IF(Exploitation!D107="","",Exploitation!D107)</f>
        <v/>
      </c>
      <c r="D235" s="131" t="str">
        <f>IF(Exploitation!C107="","",Exploitation!C107)</f>
        <v/>
      </c>
      <c r="E235" s="131" t="str">
        <f>IF(Exploitation!E107="","",Exploitation!E107)</f>
        <v/>
      </c>
      <c r="F235" s="131" t="str">
        <f>IF(Exploitation!F107="","",Exploitation!F107)</f>
        <v/>
      </c>
      <c r="G235" s="176" t="str">
        <f>IF(Exploitation!G107="","",Exploitation!G107)</f>
        <v/>
      </c>
      <c r="H235" s="177">
        <f t="shared" si="175"/>
        <v>0</v>
      </c>
      <c r="I235" s="177">
        <f t="shared" si="176"/>
        <v>0</v>
      </c>
      <c r="J235" s="117" t="str">
        <f t="shared" si="177"/>
        <v/>
      </c>
      <c r="K235" s="117" t="str">
        <f t="shared" si="178"/>
        <v/>
      </c>
      <c r="L235" s="117">
        <f t="shared" si="179"/>
        <v>0</v>
      </c>
      <c r="M235" s="117" t="str">
        <f t="shared" si="182"/>
        <v/>
      </c>
      <c r="N235" s="117" t="str">
        <f t="shared" si="180"/>
        <v/>
      </c>
      <c r="O235" s="117">
        <f t="shared" si="181"/>
        <v>0</v>
      </c>
      <c r="Q235" s="186">
        <f>IF(E235='Données d''entrée'!$B$211,VLOOKUP(D235,$B$208:$AJ$213,35,FALSE)*G235,0)</f>
        <v>0</v>
      </c>
    </row>
    <row r="236" spans="1:17" hidden="1" x14ac:dyDescent="0.35">
      <c r="A236" s="130">
        <v>8</v>
      </c>
      <c r="B236" s="131" t="str">
        <f>IF(Exploitation!B108="","",Exploitation!B108)</f>
        <v/>
      </c>
      <c r="C236" s="131" t="str">
        <f>IF(Exploitation!D108="","",Exploitation!D108)</f>
        <v/>
      </c>
      <c r="D236" s="131" t="str">
        <f>IF(Exploitation!C108="","",Exploitation!C108)</f>
        <v/>
      </c>
      <c r="E236" s="131" t="str">
        <f>IF(Exploitation!E108="","",Exploitation!E108)</f>
        <v/>
      </c>
      <c r="F236" s="131" t="str">
        <f>IF(Exploitation!F108="","",Exploitation!F108)</f>
        <v/>
      </c>
      <c r="G236" s="176" t="str">
        <f>IF(Exploitation!G108="","",Exploitation!G108)</f>
        <v/>
      </c>
      <c r="H236" s="177">
        <f t="shared" si="175"/>
        <v>0</v>
      </c>
      <c r="I236" s="177">
        <f t="shared" si="176"/>
        <v>0</v>
      </c>
      <c r="J236" s="117" t="str">
        <f t="shared" si="177"/>
        <v/>
      </c>
      <c r="K236" s="117" t="str">
        <f t="shared" si="178"/>
        <v/>
      </c>
      <c r="L236" s="117">
        <f t="shared" si="179"/>
        <v>0</v>
      </c>
      <c r="M236" s="117" t="str">
        <f t="shared" si="182"/>
        <v/>
      </c>
      <c r="N236" s="117" t="str">
        <f t="shared" si="180"/>
        <v/>
      </c>
      <c r="O236" s="117">
        <f t="shared" si="181"/>
        <v>0</v>
      </c>
      <c r="Q236" s="186">
        <f>IF(E236='Données d''entrée'!$B$211,VLOOKUP(D236,$B$208:$AJ$213,35,FALSE)*G236,0)</f>
        <v>0</v>
      </c>
    </row>
    <row r="237" spans="1:17" hidden="1" x14ac:dyDescent="0.35">
      <c r="A237" s="130">
        <v>9</v>
      </c>
      <c r="B237" s="131" t="str">
        <f>IF(Exploitation!B109="","",Exploitation!B109)</f>
        <v/>
      </c>
      <c r="C237" s="131" t="str">
        <f>IF(Exploitation!D109="","",Exploitation!D109)</f>
        <v/>
      </c>
      <c r="D237" s="131" t="str">
        <f>IF(Exploitation!C109="","",Exploitation!C109)</f>
        <v/>
      </c>
      <c r="E237" s="131" t="str">
        <f>IF(Exploitation!E109="","",Exploitation!E109)</f>
        <v/>
      </c>
      <c r="F237" s="131" t="str">
        <f>IF(Exploitation!F109="","",Exploitation!F109)</f>
        <v/>
      </c>
      <c r="G237" s="176" t="str">
        <f>IF(Exploitation!G109="","",Exploitation!G109)</f>
        <v/>
      </c>
      <c r="H237" s="177">
        <f t="shared" si="175"/>
        <v>0</v>
      </c>
      <c r="I237" s="177">
        <f t="shared" si="176"/>
        <v>0</v>
      </c>
      <c r="J237" s="117" t="str">
        <f t="shared" si="177"/>
        <v/>
      </c>
      <c r="K237" s="117" t="str">
        <f t="shared" si="178"/>
        <v/>
      </c>
      <c r="L237" s="117">
        <f t="shared" si="179"/>
        <v>0</v>
      </c>
      <c r="M237" s="117" t="str">
        <f t="shared" si="182"/>
        <v/>
      </c>
      <c r="N237" s="117" t="str">
        <f t="shared" si="180"/>
        <v/>
      </c>
      <c r="O237" s="117">
        <f t="shared" si="181"/>
        <v>0</v>
      </c>
      <c r="Q237" s="186">
        <f>IF(E237='Données d''entrée'!$B$211,VLOOKUP(D237,$B$208:$AJ$213,35,FALSE)*G237,0)</f>
        <v>0</v>
      </c>
    </row>
    <row r="238" spans="1:17" hidden="1" x14ac:dyDescent="0.35">
      <c r="A238" s="130">
        <v>10</v>
      </c>
      <c r="B238" s="131" t="str">
        <f>IF(Exploitation!B110="","",Exploitation!B110)</f>
        <v/>
      </c>
      <c r="C238" s="131" t="str">
        <f>IF(Exploitation!D110="","",Exploitation!D110)</f>
        <v/>
      </c>
      <c r="D238" s="131" t="str">
        <f>IF(Exploitation!C110="","",Exploitation!C110)</f>
        <v/>
      </c>
      <c r="E238" s="131" t="str">
        <f>IF(Exploitation!E110="","",Exploitation!E110)</f>
        <v/>
      </c>
      <c r="F238" s="131" t="str">
        <f>IF(Exploitation!F110="","",Exploitation!F110)</f>
        <v/>
      </c>
      <c r="G238" s="176" t="str">
        <f>IF(Exploitation!G110="","",Exploitation!G110)</f>
        <v/>
      </c>
      <c r="H238" s="177">
        <f t="shared" si="175"/>
        <v>0</v>
      </c>
      <c r="I238" s="177">
        <f t="shared" si="176"/>
        <v>0</v>
      </c>
      <c r="J238" s="117" t="str">
        <f t="shared" si="177"/>
        <v/>
      </c>
      <c r="K238" s="117" t="str">
        <f t="shared" si="178"/>
        <v/>
      </c>
      <c r="L238" s="117">
        <f t="shared" si="179"/>
        <v>0</v>
      </c>
      <c r="M238" s="117" t="str">
        <f t="shared" si="182"/>
        <v/>
      </c>
      <c r="N238" s="117" t="str">
        <f t="shared" si="180"/>
        <v/>
      </c>
      <c r="O238" s="117">
        <f>SUM(M238:N238)</f>
        <v>0</v>
      </c>
      <c r="Q238" s="186">
        <f>IF(E238='Données d''entrée'!$B$211,VLOOKUP(D238,$B$208:$AJ$213,35,FALSE)*G238,0)</f>
        <v>0</v>
      </c>
    </row>
    <row r="239" spans="1:17" hidden="1" x14ac:dyDescent="0.35"/>
    <row r="240" spans="1:17" hidden="1" x14ac:dyDescent="0.35"/>
    <row r="241" spans="1:10" ht="26.25" hidden="1" customHeight="1" x14ac:dyDescent="0.6">
      <c r="B241" s="544" t="s">
        <v>546</v>
      </c>
      <c r="C241" s="545"/>
      <c r="D241" s="546"/>
      <c r="E241" s="148">
        <f>SUMIF($E$229:$E$238,"Epandu sur terres en propre",$O$229:$O$238)</f>
        <v>0</v>
      </c>
      <c r="F241" s="149" t="s">
        <v>15</v>
      </c>
    </row>
    <row r="242" spans="1:10" ht="26.25" hidden="1" customHeight="1" x14ac:dyDescent="0.6">
      <c r="B242" s="544" t="s">
        <v>547</v>
      </c>
      <c r="C242" s="545"/>
      <c r="D242" s="546"/>
      <c r="E242" s="148">
        <f>SUMIF($E$229:$E$238,"Epandu sur autres terres",$O$229:$O$238)</f>
        <v>0</v>
      </c>
      <c r="F242" s="149" t="s">
        <v>15</v>
      </c>
    </row>
    <row r="243" spans="1:10" ht="26.25" hidden="1" customHeight="1" x14ac:dyDescent="0.6">
      <c r="B243" s="544" t="s">
        <v>548</v>
      </c>
      <c r="C243" s="545"/>
      <c r="D243" s="546"/>
      <c r="E243" s="148">
        <f>SUMIF($E$229:$E$238,"Effluent normalisé exporté",$O$229:$O$238)</f>
        <v>0</v>
      </c>
      <c r="F243" s="149" t="s">
        <v>15</v>
      </c>
    </row>
    <row r="244" spans="1:10" ht="26.25" hidden="1" customHeight="1" x14ac:dyDescent="0.6">
      <c r="B244" s="544" t="s">
        <v>219</v>
      </c>
      <c r="C244" s="545"/>
      <c r="D244" s="546"/>
      <c r="E244" s="148">
        <f>SUM(E241,E242)</f>
        <v>0</v>
      </c>
      <c r="F244" s="149" t="s">
        <v>15</v>
      </c>
    </row>
    <row r="245" spans="1:10" hidden="1" x14ac:dyDescent="0.35"/>
    <row r="246" spans="1:10" ht="26.25" hidden="1" customHeight="1" x14ac:dyDescent="0.6">
      <c r="B246" s="544" t="s">
        <v>293</v>
      </c>
      <c r="C246" s="545"/>
      <c r="D246" s="546"/>
      <c r="E246" s="148">
        <f>SUM(C122,C202,E244)</f>
        <v>0</v>
      </c>
      <c r="F246" s="149" t="s">
        <v>15</v>
      </c>
      <c r="H246" s="147" t="s">
        <v>220</v>
      </c>
      <c r="I246" s="148">
        <f>E246*17/14</f>
        <v>0</v>
      </c>
      <c r="J246" s="149" t="s">
        <v>18</v>
      </c>
    </row>
    <row r="247" spans="1:10" hidden="1" x14ac:dyDescent="0.35"/>
    <row r="248" spans="1:10" hidden="1" x14ac:dyDescent="0.35"/>
    <row r="249" spans="1:10" s="110" customFormat="1" ht="26" hidden="1" x14ac:dyDescent="0.6">
      <c r="A249" s="106" t="s">
        <v>221</v>
      </c>
    </row>
    <row r="250" spans="1:10" hidden="1" x14ac:dyDescent="0.35"/>
    <row r="251" spans="1:10" hidden="1" x14ac:dyDescent="0.35">
      <c r="B251" s="50" t="s">
        <v>222</v>
      </c>
    </row>
    <row r="252" spans="1:10" hidden="1" x14ac:dyDescent="0.35"/>
    <row r="253" spans="1:10" hidden="1" x14ac:dyDescent="0.35">
      <c r="C253" s="112" t="s">
        <v>46</v>
      </c>
      <c r="D253" s="112" t="s">
        <v>47</v>
      </c>
      <c r="E253" s="112" t="s">
        <v>51</v>
      </c>
      <c r="F253" s="112" t="s">
        <v>124</v>
      </c>
      <c r="G253" s="112" t="s">
        <v>49</v>
      </c>
      <c r="H253" s="112" t="s">
        <v>48</v>
      </c>
      <c r="I253" s="112" t="s">
        <v>52</v>
      </c>
    </row>
    <row r="254" spans="1:10" ht="29" hidden="1" x14ac:dyDescent="0.35">
      <c r="B254" s="108" t="s">
        <v>224</v>
      </c>
      <c r="C254" s="40">
        <f>VLOOKUP(C253,'Données d''entrée'!$B$459:$C$465,2,FALSE)</f>
        <v>0.28215915202434161</v>
      </c>
      <c r="D254" s="40">
        <f>VLOOKUP(D253,'Données d''entrée'!$B$459:$C$465,2,FALSE)</f>
        <v>0.81777518805969285</v>
      </c>
      <c r="E254" s="40">
        <f>VLOOKUP(E253,'Données d''entrée'!$B$459:$C$465,2,FALSE)</f>
        <v>0.78</v>
      </c>
      <c r="F254" s="40">
        <f>VLOOKUP(F253,'Données d''entrée'!$B$459:$C$465,2,FALSE)</f>
        <v>3.01</v>
      </c>
      <c r="G254" s="40">
        <f>VLOOKUP(G253,'Données d''entrée'!$B$459:$C$465,2,FALSE)</f>
        <v>3.01</v>
      </c>
      <c r="H254" s="40">
        <f>VLOOKUP(H253,'Données d''entrée'!$B$459:$C$465,2,FALSE)</f>
        <v>3.01</v>
      </c>
      <c r="I254" s="40">
        <f>VLOOKUP(I253,'Données d''entrée'!$B$459:$C$465,2,FALSE)</f>
        <v>0.78</v>
      </c>
    </row>
    <row r="255" spans="1:10" hidden="1" x14ac:dyDescent="0.35">
      <c r="B255" s="172" t="s">
        <v>620</v>
      </c>
      <c r="C255" s="118">
        <f>C22*(1-C23%/2)</f>
        <v>0</v>
      </c>
      <c r="D255" s="118">
        <f>D22*(1-D23%/2)</f>
        <v>0</v>
      </c>
      <c r="E255" s="118">
        <f t="shared" ref="E255:I255" si="183">E22*(1-E23%/2)</f>
        <v>0</v>
      </c>
      <c r="F255" s="118">
        <f t="shared" si="183"/>
        <v>0</v>
      </c>
      <c r="G255" s="118">
        <f t="shared" si="183"/>
        <v>0</v>
      </c>
      <c r="H255" s="118">
        <f t="shared" si="183"/>
        <v>0</v>
      </c>
      <c r="I255" s="118">
        <f t="shared" si="183"/>
        <v>0</v>
      </c>
    </row>
    <row r="256" spans="1:10" hidden="1" x14ac:dyDescent="0.35">
      <c r="B256" s="113" t="s">
        <v>225</v>
      </c>
      <c r="C256" s="117">
        <f>IF(ISERROR(C254*C255),"",C254*C255)</f>
        <v>0</v>
      </c>
      <c r="D256" s="117">
        <f t="shared" ref="D256:I256" si="184">IF(ISERROR(D254*D255),"",D254*D255)</f>
        <v>0</v>
      </c>
      <c r="E256" s="117">
        <f t="shared" si="184"/>
        <v>0</v>
      </c>
      <c r="F256" s="117">
        <f t="shared" si="184"/>
        <v>0</v>
      </c>
      <c r="G256" s="117">
        <f t="shared" si="184"/>
        <v>0</v>
      </c>
      <c r="H256" s="117">
        <f t="shared" si="184"/>
        <v>0</v>
      </c>
      <c r="I256" s="117">
        <f t="shared" si="184"/>
        <v>0</v>
      </c>
    </row>
    <row r="257" spans="1:71" hidden="1" x14ac:dyDescent="0.35"/>
    <row r="258" spans="1:71" hidden="1" x14ac:dyDescent="0.35"/>
    <row r="259" spans="1:71" ht="52" hidden="1" x14ac:dyDescent="0.6">
      <c r="B259" s="178" t="s">
        <v>226</v>
      </c>
      <c r="C259" s="179">
        <f>SUM(C256:I256)</f>
        <v>0</v>
      </c>
      <c r="D259" s="149" t="s">
        <v>227</v>
      </c>
    </row>
    <row r="260" spans="1:71" hidden="1" x14ac:dyDescent="0.35"/>
    <row r="261" spans="1:71" hidden="1" x14ac:dyDescent="0.35"/>
    <row r="262" spans="1:71" hidden="1" x14ac:dyDescent="0.35">
      <c r="B262" s="50" t="s">
        <v>507</v>
      </c>
    </row>
    <row r="263" spans="1:71" hidden="1" x14ac:dyDescent="0.35"/>
    <row r="264" spans="1:71" ht="31.5" hidden="1" customHeight="1" x14ac:dyDescent="0.35">
      <c r="K264" s="525" t="s">
        <v>248</v>
      </c>
      <c r="L264" s="527"/>
      <c r="M264" s="525" t="s">
        <v>205</v>
      </c>
      <c r="N264" s="527"/>
      <c r="O264" s="538" t="s">
        <v>629</v>
      </c>
      <c r="P264" s="538" t="s">
        <v>630</v>
      </c>
      <c r="Q264" s="538" t="s">
        <v>633</v>
      </c>
      <c r="R264" s="538" t="s">
        <v>634</v>
      </c>
      <c r="S264" s="538" t="s">
        <v>631</v>
      </c>
      <c r="T264" s="538" t="s">
        <v>632</v>
      </c>
      <c r="U264" s="540" t="s">
        <v>622</v>
      </c>
      <c r="V264" s="540" t="s">
        <v>623</v>
      </c>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71" ht="30" hidden="1" customHeight="1" x14ac:dyDescent="0.35">
      <c r="C265" s="112" t="s">
        <v>7</v>
      </c>
      <c r="D265" s="136" t="s">
        <v>0</v>
      </c>
      <c r="E265" s="136" t="s">
        <v>1</v>
      </c>
      <c r="F265" s="135" t="s">
        <v>8</v>
      </c>
      <c r="G265" s="135" t="s">
        <v>85</v>
      </c>
      <c r="H265" s="135" t="s">
        <v>496</v>
      </c>
      <c r="I265" s="112" t="s">
        <v>494</v>
      </c>
      <c r="J265" s="112" t="s">
        <v>495</v>
      </c>
      <c r="K265" s="135" t="s">
        <v>497</v>
      </c>
      <c r="L265" s="135" t="s">
        <v>232</v>
      </c>
      <c r="M265" s="135" t="s">
        <v>232</v>
      </c>
      <c r="N265" s="135" t="s">
        <v>232</v>
      </c>
      <c r="O265" s="539"/>
      <c r="P265" s="539"/>
      <c r="Q265" s="539"/>
      <c r="R265" s="539"/>
      <c r="S265" s="539"/>
      <c r="T265" s="539"/>
      <c r="U265" s="541"/>
      <c r="V265" s="541"/>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43.5" hidden="1" x14ac:dyDescent="0.35">
      <c r="A266" s="130">
        <v>1</v>
      </c>
      <c r="B266" s="156" t="str">
        <f>IF(Exploitation!B15="","",Exploitation!B15)</f>
        <v/>
      </c>
      <c r="C266" s="180" t="str">
        <f>C75</f>
        <v/>
      </c>
      <c r="D266" s="181" t="str">
        <f>D75</f>
        <v/>
      </c>
      <c r="E266" s="181" t="str">
        <f>E75</f>
        <v/>
      </c>
      <c r="F266" s="181" t="str">
        <f>F75</f>
        <v/>
      </c>
      <c r="G266" s="182" t="str">
        <f>IF(Exploitation!E54="","",Exploitation!E54)</f>
        <v/>
      </c>
      <c r="H266" s="183" t="str">
        <f>IF(ISERROR(IF(D266=100%,VLOOKUP(G266,CH4_fumier_bat,2,FALSE),VLOOKUP(G266,CH4_lisier_bat,2,FALSE))),"",IF(D266=100%,VLOOKUP(G266,CH4_fumier_bat,2,FALSE),VLOOKUP(G266,CH4_lisier_bat,2,FALSE)))</f>
        <v/>
      </c>
      <c r="I266" s="182" t="str">
        <f>IF(Exploitation!L54="","",Exploitation!L54)</f>
        <v/>
      </c>
      <c r="J266" s="182" t="str">
        <f>IF(Exploitation!K54="","",Exploitation!K54)</f>
        <v/>
      </c>
      <c r="K266" s="184">
        <f>'Données d''entrée'!$D$471</f>
        <v>0.3</v>
      </c>
      <c r="L266" s="300">
        <f>K266*SUMPRODUCT($C$255:$E$255,C48:E48)</f>
        <v>0</v>
      </c>
      <c r="M266" s="182">
        <f>'Données d''entrée'!$D$474</f>
        <v>0.46</v>
      </c>
      <c r="N266" s="183">
        <f t="shared" ref="N266:N285" si="185">M266*SUMPRODUCT($F$255:$I$255,F48:I48)</f>
        <v>0</v>
      </c>
      <c r="O266" s="183">
        <f>IF(D266=100%,IF(G266='Données d''entrée'!$D$484,Emissions!L266+Emissions!N266,0),0)</f>
        <v>0</v>
      </c>
      <c r="P266" s="183">
        <f>IF(E266=100%,IF(G266='Données d''entrée'!$D$484,Emissions!L266+Emissions!N266,0),0)</f>
        <v>0</v>
      </c>
      <c r="Q266" s="318" t="e">
        <f>HLOOKUP(Emissions!$C$13,'Données d''entrée'!$D$502:$L$511,4,FALSE)</f>
        <v>#N/A</v>
      </c>
      <c r="R266" s="318" t="e">
        <f>HLOOKUP(Emissions!$C$13,'Données d''entrée'!$D$502:$L$511,8,FALSE)</f>
        <v>#N/A</v>
      </c>
      <c r="S266" s="185" t="e">
        <f>'Données d''entrée'!$C$471*'Données d''entrée'!$C$540*'Données d''entrée'!$C$539*Emissions!Q266/100*O266</f>
        <v>#N/A</v>
      </c>
      <c r="T266" s="185" t="e">
        <f>'Données d''entrée'!$C$471*'Données d''entrée'!$C$540*'Données d''entrée'!$C$539*Emissions!R266/100*P266</f>
        <v>#N/A</v>
      </c>
      <c r="U266" s="185">
        <f>IF(F266='Données d''entrée'!$B$521,'Données d''entrée'!$C$522*(L266+N266-O266-P266),IF(D266=100%,L266+N266-O266,0))</f>
        <v>0</v>
      </c>
      <c r="V266" s="185">
        <f>IF(F266='Données d''entrée'!$B$521,'Données d''entrée'!$C$523*(L266+N266-O266-P266),IF(E266=100%,L266+N266-P266,0))</f>
        <v>0</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row>
    <row r="267" spans="1:71" hidden="1" x14ac:dyDescent="0.35">
      <c r="A267" s="130">
        <v>2</v>
      </c>
      <c r="B267" s="156" t="str">
        <f>IF(Exploitation!B16="","",Exploitation!B16)</f>
        <v/>
      </c>
      <c r="C267" s="180" t="str">
        <f t="shared" ref="C267:F267" si="186">C76</f>
        <v/>
      </c>
      <c r="D267" s="181" t="str">
        <f t="shared" si="186"/>
        <v/>
      </c>
      <c r="E267" s="181" t="str">
        <f t="shared" si="186"/>
        <v/>
      </c>
      <c r="F267" s="181" t="str">
        <f t="shared" si="186"/>
        <v/>
      </c>
      <c r="G267" s="182" t="str">
        <f>IF(Exploitation!E55="","",Exploitation!E55)</f>
        <v/>
      </c>
      <c r="H267" s="183" t="str">
        <f t="shared" ref="H267:H285" si="187">IF(ISERROR(IF(D267=100%,VLOOKUP(G267,CH4_fumier_bat,2,FALSE),VLOOKUP(G267,CH4_lisier_bat,2,FALSE))),"",IF(D267=100%,VLOOKUP(G267,CH4_fumier_bat,2,FALSE),VLOOKUP(G267,CH4_lisier_bat,2,FALSE)))</f>
        <v/>
      </c>
      <c r="I267" s="182" t="str">
        <f>IF(Exploitation!L55="","",Exploitation!L55)</f>
        <v/>
      </c>
      <c r="J267" s="182" t="str">
        <f>IF(Exploitation!K55="","",Exploitation!K55)</f>
        <v/>
      </c>
      <c r="K267" s="184">
        <f>'Données d''entrée'!$D$471</f>
        <v>0.3</v>
      </c>
      <c r="L267" s="185">
        <f t="shared" ref="L267:L285" si="188">K267*SUMPRODUCT($C$255:$E$255,C49:E49)</f>
        <v>0</v>
      </c>
      <c r="M267" s="182">
        <f>'Données d''entrée'!$D$474</f>
        <v>0.46</v>
      </c>
      <c r="N267" s="183">
        <f t="shared" si="185"/>
        <v>0</v>
      </c>
      <c r="O267" s="183">
        <f>IF(D267=100%,IF(G267='Données d''entrée'!$D$484,Emissions!L267+Emissions!N267,0),0)</f>
        <v>0</v>
      </c>
      <c r="P267" s="183">
        <f>IF(E267=100%,IF(G267='Données d''entrée'!$D$484,Emissions!L267+Emissions!N267,0),0)</f>
        <v>0</v>
      </c>
      <c r="Q267" s="318" t="e">
        <f>HLOOKUP(Emissions!$C$13,'Données d''entrée'!$D$502:$L$511,4,FALSE)</f>
        <v>#N/A</v>
      </c>
      <c r="R267" s="318" t="e">
        <f>HLOOKUP(Emissions!$C$13,'Données d''entrée'!$D$502:$L$511,8,FALSE)</f>
        <v>#N/A</v>
      </c>
      <c r="S267" s="185" t="e">
        <f>'Données d''entrée'!$C$471*'Données d''entrée'!$C$540*'Données d''entrée'!$C$539*Emissions!Q267/100*O267</f>
        <v>#N/A</v>
      </c>
      <c r="T267" s="185" t="e">
        <f>'Données d''entrée'!$C$471*'Données d''entrée'!$C$540*'Données d''entrée'!$C$539*Emissions!R267/100*P267</f>
        <v>#N/A</v>
      </c>
      <c r="U267" s="185">
        <f>IF(F267='Données d''entrée'!$B$521,'Données d''entrée'!$C$522*(L267+N267-O267-P267),IF(D267=100%,L267+N267-O267,0))</f>
        <v>0</v>
      </c>
      <c r="V267" s="185">
        <f>IF(F267='Données d''entrée'!$B$521,'Données d''entrée'!$C$523*(L267+N267-O267-P267),IF(E267=100%,L267+N267-P267,0))</f>
        <v>0</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row>
    <row r="268" spans="1:71" hidden="1" x14ac:dyDescent="0.35">
      <c r="A268" s="130">
        <v>3</v>
      </c>
      <c r="B268" s="156" t="str">
        <f>IF(Exploitation!B17="","",Exploitation!B17)</f>
        <v/>
      </c>
      <c r="C268" s="180" t="str">
        <f t="shared" ref="C268:F268" si="189">C77</f>
        <v/>
      </c>
      <c r="D268" s="181" t="str">
        <f t="shared" si="189"/>
        <v/>
      </c>
      <c r="E268" s="181" t="str">
        <f t="shared" si="189"/>
        <v/>
      </c>
      <c r="F268" s="181" t="str">
        <f t="shared" si="189"/>
        <v/>
      </c>
      <c r="G268" s="182" t="str">
        <f>IF(Exploitation!E56="","",Exploitation!E56)</f>
        <v/>
      </c>
      <c r="H268" s="183" t="str">
        <f t="shared" si="187"/>
        <v/>
      </c>
      <c r="I268" s="182" t="str">
        <f>IF(Exploitation!L56="","",Exploitation!L56)</f>
        <v/>
      </c>
      <c r="J268" s="182" t="str">
        <f>IF(Exploitation!K56="","",Exploitation!K56)</f>
        <v/>
      </c>
      <c r="K268" s="184">
        <f>'Données d''entrée'!$D$471</f>
        <v>0.3</v>
      </c>
      <c r="L268" s="185">
        <f t="shared" si="188"/>
        <v>0</v>
      </c>
      <c r="M268" s="182">
        <f>'Données d''entrée'!$D$474</f>
        <v>0.46</v>
      </c>
      <c r="N268" s="183">
        <f t="shared" si="185"/>
        <v>0</v>
      </c>
      <c r="O268" s="183">
        <f>IF(D268=100%,IF(G268='Données d''entrée'!$D$484,Emissions!L268+Emissions!N268,0),0)</f>
        <v>0</v>
      </c>
      <c r="P268" s="183">
        <f>IF(E268=100%,IF(G268='Données d''entrée'!$D$484,Emissions!L268+Emissions!N268,0),0)</f>
        <v>0</v>
      </c>
      <c r="Q268" s="318" t="e">
        <f>HLOOKUP(Emissions!$C$13,'Données d''entrée'!$D$502:$L$511,4,FALSE)</f>
        <v>#N/A</v>
      </c>
      <c r="R268" s="318" t="e">
        <f>HLOOKUP(Emissions!$C$13,'Données d''entrée'!$D$502:$L$511,8,FALSE)</f>
        <v>#N/A</v>
      </c>
      <c r="S268" s="185" t="e">
        <f>'Données d''entrée'!$C$471*'Données d''entrée'!$C$540*'Données d''entrée'!$C$539*Emissions!Q268/100*O268</f>
        <v>#N/A</v>
      </c>
      <c r="T268" s="185" t="e">
        <f>'Données d''entrée'!$C$471*'Données d''entrée'!$C$540*'Données d''entrée'!$C$539*Emissions!R268/100*P268</f>
        <v>#N/A</v>
      </c>
      <c r="U268" s="185">
        <f>IF(F268='Données d''entrée'!$B$521,'Données d''entrée'!$C$522*(L268+N268-O268-P268),IF(D268=100%,L268+N268-O268,0))</f>
        <v>0</v>
      </c>
      <c r="V268" s="185">
        <f>IF(F268='Données d''entrée'!$B$521,'Données d''entrée'!$C$523*(L268+N268-O268-P268),IF(E268=100%,L268+N268-P268,0))</f>
        <v>0</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row>
    <row r="269" spans="1:71" hidden="1" x14ac:dyDescent="0.35">
      <c r="A269" s="130">
        <v>4</v>
      </c>
      <c r="B269" s="156" t="str">
        <f>IF(Exploitation!B18="","",Exploitation!B18)</f>
        <v/>
      </c>
      <c r="C269" s="180" t="str">
        <f t="shared" ref="C269:F269" si="190">C78</f>
        <v/>
      </c>
      <c r="D269" s="181" t="str">
        <f t="shared" si="190"/>
        <v/>
      </c>
      <c r="E269" s="181" t="str">
        <f t="shared" si="190"/>
        <v/>
      </c>
      <c r="F269" s="181" t="str">
        <f t="shared" si="190"/>
        <v/>
      </c>
      <c r="G269" s="182" t="str">
        <f>IF(Exploitation!E57="","",Exploitation!E57)</f>
        <v/>
      </c>
      <c r="H269" s="183" t="str">
        <f t="shared" si="187"/>
        <v/>
      </c>
      <c r="I269" s="182" t="str">
        <f>IF(Exploitation!L57="","",Exploitation!L57)</f>
        <v/>
      </c>
      <c r="J269" s="182" t="str">
        <f>IF(Exploitation!K57="","",Exploitation!K57)</f>
        <v/>
      </c>
      <c r="K269" s="184">
        <f>'Données d''entrée'!$D$471</f>
        <v>0.3</v>
      </c>
      <c r="L269" s="185">
        <f t="shared" si="188"/>
        <v>0</v>
      </c>
      <c r="M269" s="182">
        <f>'Données d''entrée'!$D$474</f>
        <v>0.46</v>
      </c>
      <c r="N269" s="183">
        <f t="shared" si="185"/>
        <v>0</v>
      </c>
      <c r="O269" s="183">
        <f>IF(D269=100%,IF(G269='Données d''entrée'!$D$484,Emissions!L269+Emissions!N269,0),0)</f>
        <v>0</v>
      </c>
      <c r="P269" s="183">
        <f>IF(E269=100%,IF(G269='Données d''entrée'!$D$484,Emissions!L269+Emissions!N269,0),0)</f>
        <v>0</v>
      </c>
      <c r="Q269" s="318" t="e">
        <f>HLOOKUP(Emissions!$C$13,'Données d''entrée'!$D$502:$L$511,4,FALSE)</f>
        <v>#N/A</v>
      </c>
      <c r="R269" s="318" t="e">
        <f>HLOOKUP(Emissions!$C$13,'Données d''entrée'!$D$502:$L$511,8,FALSE)</f>
        <v>#N/A</v>
      </c>
      <c r="S269" s="185" t="e">
        <f>'Données d''entrée'!$C$471*'Données d''entrée'!$C$540*'Données d''entrée'!$C$539*Emissions!Q269/100*O269</f>
        <v>#N/A</v>
      </c>
      <c r="T269" s="185" t="e">
        <f>'Données d''entrée'!$C$471*'Données d''entrée'!$C$540*'Données d''entrée'!$C$539*Emissions!R269/100*P269</f>
        <v>#N/A</v>
      </c>
      <c r="U269" s="185">
        <f>IF(F269='Données d''entrée'!$B$521,'Données d''entrée'!$C$522*(L269+N269-O269-P269),IF(D269=100%,L269+N269-O269,0))</f>
        <v>0</v>
      </c>
      <c r="V269" s="185">
        <f>IF(F269='Données d''entrée'!$B$521,'Données d''entrée'!$C$523*(L269+N269-O269-P269),IF(E269=100%,L269+N269-P269,0))</f>
        <v>0</v>
      </c>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row>
    <row r="270" spans="1:71" hidden="1" x14ac:dyDescent="0.35">
      <c r="A270" s="130">
        <v>5</v>
      </c>
      <c r="B270" s="156" t="str">
        <f>IF(Exploitation!B19="","",Exploitation!B19)</f>
        <v/>
      </c>
      <c r="C270" s="180" t="str">
        <f t="shared" ref="C270:F270" si="191">C79</f>
        <v/>
      </c>
      <c r="D270" s="181" t="str">
        <f t="shared" si="191"/>
        <v/>
      </c>
      <c r="E270" s="181" t="str">
        <f t="shared" si="191"/>
        <v/>
      </c>
      <c r="F270" s="181" t="str">
        <f t="shared" si="191"/>
        <v/>
      </c>
      <c r="G270" s="182" t="str">
        <f>IF(Exploitation!E58="","",Exploitation!E58)</f>
        <v/>
      </c>
      <c r="H270" s="183" t="str">
        <f t="shared" si="187"/>
        <v/>
      </c>
      <c r="I270" s="182" t="str">
        <f>IF(Exploitation!L58="","",Exploitation!L58)</f>
        <v/>
      </c>
      <c r="J270" s="182" t="str">
        <f>IF(Exploitation!K58="","",Exploitation!K58)</f>
        <v/>
      </c>
      <c r="K270" s="184">
        <f>'Données d''entrée'!$D$471</f>
        <v>0.3</v>
      </c>
      <c r="L270" s="185">
        <f t="shared" si="188"/>
        <v>0</v>
      </c>
      <c r="M270" s="182">
        <f>'Données d''entrée'!$D$474</f>
        <v>0.46</v>
      </c>
      <c r="N270" s="183">
        <f t="shared" si="185"/>
        <v>0</v>
      </c>
      <c r="O270" s="183">
        <f>IF(D270=100%,IF(G270='Données d''entrée'!$D$484,Emissions!L270+Emissions!N270,0),0)</f>
        <v>0</v>
      </c>
      <c r="P270" s="183">
        <f>IF(E270=100%,IF(G270='Données d''entrée'!$D$484,Emissions!L270+Emissions!N270,0),0)</f>
        <v>0</v>
      </c>
      <c r="Q270" s="318" t="e">
        <f>HLOOKUP(Emissions!$C$13,'Données d''entrée'!$D$502:$L$511,4,FALSE)</f>
        <v>#N/A</v>
      </c>
      <c r="R270" s="318" t="e">
        <f>HLOOKUP(Emissions!$C$13,'Données d''entrée'!$D$502:$L$511,8,FALSE)</f>
        <v>#N/A</v>
      </c>
      <c r="S270" s="185" t="e">
        <f>'Données d''entrée'!$C$471*'Données d''entrée'!$C$540*'Données d''entrée'!$C$539*Emissions!Q270/100*O270</f>
        <v>#N/A</v>
      </c>
      <c r="T270" s="185" t="e">
        <f>'Données d''entrée'!$C$471*'Données d''entrée'!$C$540*'Données d''entrée'!$C$539*Emissions!R270/100*P270</f>
        <v>#N/A</v>
      </c>
      <c r="U270" s="185">
        <f>IF(F270='Données d''entrée'!$B$521,'Données d''entrée'!$C$522*(L270+N270-O270-P270),IF(D270=100%,L270+N270-O270,0))</f>
        <v>0</v>
      </c>
      <c r="V270" s="185">
        <f>IF(F270='Données d''entrée'!$B$521,'Données d''entrée'!$C$523*(L270+N270-O270-P270),IF(E270=100%,L270+N270-P270,0))</f>
        <v>0</v>
      </c>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row>
    <row r="271" spans="1:71" hidden="1" x14ac:dyDescent="0.35">
      <c r="A271" s="130">
        <v>6</v>
      </c>
      <c r="B271" s="156" t="str">
        <f>IF(Exploitation!B20="","",Exploitation!B20)</f>
        <v/>
      </c>
      <c r="C271" s="180" t="str">
        <f t="shared" ref="C271:F271" si="192">C80</f>
        <v/>
      </c>
      <c r="D271" s="181" t="str">
        <f t="shared" si="192"/>
        <v/>
      </c>
      <c r="E271" s="181" t="str">
        <f t="shared" si="192"/>
        <v/>
      </c>
      <c r="F271" s="181" t="str">
        <f t="shared" si="192"/>
        <v/>
      </c>
      <c r="G271" s="182" t="str">
        <f>IF(Exploitation!E59="","",Exploitation!E59)</f>
        <v/>
      </c>
      <c r="H271" s="183" t="str">
        <f t="shared" si="187"/>
        <v/>
      </c>
      <c r="I271" s="182" t="str">
        <f>IF(Exploitation!L59="","",Exploitation!L59)</f>
        <v/>
      </c>
      <c r="J271" s="182" t="str">
        <f>IF(Exploitation!K59="","",Exploitation!K59)</f>
        <v/>
      </c>
      <c r="K271" s="184">
        <f>'Données d''entrée'!$D$471</f>
        <v>0.3</v>
      </c>
      <c r="L271" s="185">
        <f t="shared" si="188"/>
        <v>0</v>
      </c>
      <c r="M271" s="182">
        <f>'Données d''entrée'!$D$474</f>
        <v>0.46</v>
      </c>
      <c r="N271" s="183">
        <f t="shared" si="185"/>
        <v>0</v>
      </c>
      <c r="O271" s="183">
        <f>IF(D271=100%,IF(G271='Données d''entrée'!$D$484,Emissions!L271+Emissions!N271,0),0)</f>
        <v>0</v>
      </c>
      <c r="P271" s="183">
        <f>IF(E271=100%,IF(G271='Données d''entrée'!$D$484,Emissions!L271+Emissions!N271,0),0)</f>
        <v>0</v>
      </c>
      <c r="Q271" s="318" t="e">
        <f>HLOOKUP(Emissions!$C$13,'Données d''entrée'!$D$502:$L$511,4,FALSE)</f>
        <v>#N/A</v>
      </c>
      <c r="R271" s="318" t="e">
        <f>HLOOKUP(Emissions!$C$13,'Données d''entrée'!$D$502:$L$511,8,FALSE)</f>
        <v>#N/A</v>
      </c>
      <c r="S271" s="185" t="e">
        <f>'Données d''entrée'!$C$471*'Données d''entrée'!$C$540*'Données d''entrée'!$C$539*Emissions!Q271/100*O271</f>
        <v>#N/A</v>
      </c>
      <c r="T271" s="185" t="e">
        <f>'Données d''entrée'!$C$471*'Données d''entrée'!$C$540*'Données d''entrée'!$C$539*Emissions!R271/100*P271</f>
        <v>#N/A</v>
      </c>
      <c r="U271" s="185">
        <f>IF(F271='Données d''entrée'!$B$521,'Données d''entrée'!$C$522*(L271+N271-O271-P271),IF(D271=100%,L271+N271-O271,0))</f>
        <v>0</v>
      </c>
      <c r="V271" s="185">
        <f>IF(F271='Données d''entrée'!$B$521,'Données d''entrée'!$C$523*(L271+N271-O271-P271),IF(E271=100%,L271+N271-P271,0))</f>
        <v>0</v>
      </c>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row>
    <row r="272" spans="1:71" hidden="1" x14ac:dyDescent="0.35">
      <c r="A272" s="130">
        <v>7</v>
      </c>
      <c r="B272" s="156" t="str">
        <f>IF(Exploitation!B21="","",Exploitation!B21)</f>
        <v/>
      </c>
      <c r="C272" s="180" t="str">
        <f t="shared" ref="C272:F272" si="193">C81</f>
        <v/>
      </c>
      <c r="D272" s="181" t="str">
        <f t="shared" si="193"/>
        <v/>
      </c>
      <c r="E272" s="181" t="str">
        <f t="shared" si="193"/>
        <v/>
      </c>
      <c r="F272" s="181" t="str">
        <f t="shared" si="193"/>
        <v/>
      </c>
      <c r="G272" s="182" t="str">
        <f>IF(Exploitation!E60="","",Exploitation!E60)</f>
        <v/>
      </c>
      <c r="H272" s="183" t="str">
        <f t="shared" si="187"/>
        <v/>
      </c>
      <c r="I272" s="182" t="str">
        <f>IF(Exploitation!L60="","",Exploitation!L60)</f>
        <v/>
      </c>
      <c r="J272" s="182" t="str">
        <f>IF(Exploitation!K60="","",Exploitation!K60)</f>
        <v/>
      </c>
      <c r="K272" s="184">
        <f>'Données d''entrée'!$D$471</f>
        <v>0.3</v>
      </c>
      <c r="L272" s="185">
        <f t="shared" si="188"/>
        <v>0</v>
      </c>
      <c r="M272" s="182">
        <f>'Données d''entrée'!$D$474</f>
        <v>0.46</v>
      </c>
      <c r="N272" s="183">
        <f t="shared" si="185"/>
        <v>0</v>
      </c>
      <c r="O272" s="183">
        <f>IF(D272=100%,IF(G272='Données d''entrée'!$D$484,Emissions!L272+Emissions!N272,0),0)</f>
        <v>0</v>
      </c>
      <c r="P272" s="183">
        <f>IF(E272=100%,IF(G272='Données d''entrée'!$D$484,Emissions!L272+Emissions!N272,0),0)</f>
        <v>0</v>
      </c>
      <c r="Q272" s="318" t="e">
        <f>HLOOKUP(Emissions!$C$13,'Données d''entrée'!$D$502:$L$511,4,FALSE)</f>
        <v>#N/A</v>
      </c>
      <c r="R272" s="318" t="e">
        <f>HLOOKUP(Emissions!$C$13,'Données d''entrée'!$D$502:$L$511,8,FALSE)</f>
        <v>#N/A</v>
      </c>
      <c r="S272" s="185" t="e">
        <f>'Données d''entrée'!$C$471*'Données d''entrée'!$C$540*'Données d''entrée'!$C$539*Emissions!Q272/100*O272</f>
        <v>#N/A</v>
      </c>
      <c r="T272" s="185" t="e">
        <f>'Données d''entrée'!$C$471*'Données d''entrée'!$C$540*'Données d''entrée'!$C$539*Emissions!R272/100*P272</f>
        <v>#N/A</v>
      </c>
      <c r="U272" s="185">
        <f>IF(F272='Données d''entrée'!$B$521,'Données d''entrée'!$C$522*(L272+N272-O272-P272),IF(D272=100%,L272+N272-O272,0))</f>
        <v>0</v>
      </c>
      <c r="V272" s="185">
        <f>IF(F272='Données d''entrée'!$B$521,'Données d''entrée'!$C$523*(L272+N272-O272-P272),IF(E272=100%,L272+N272-P272,0))</f>
        <v>0</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row>
    <row r="273" spans="1:71" hidden="1" x14ac:dyDescent="0.35">
      <c r="A273" s="130">
        <v>8</v>
      </c>
      <c r="B273" s="156" t="str">
        <f>IF(Exploitation!B22="","",Exploitation!B22)</f>
        <v/>
      </c>
      <c r="C273" s="180" t="str">
        <f t="shared" ref="C273:F273" si="194">C82</f>
        <v/>
      </c>
      <c r="D273" s="181" t="str">
        <f t="shared" si="194"/>
        <v/>
      </c>
      <c r="E273" s="181" t="str">
        <f t="shared" si="194"/>
        <v/>
      </c>
      <c r="F273" s="181" t="str">
        <f t="shared" si="194"/>
        <v/>
      </c>
      <c r="G273" s="182" t="str">
        <f>IF(Exploitation!E61="","",Exploitation!E61)</f>
        <v/>
      </c>
      <c r="H273" s="183" t="str">
        <f t="shared" si="187"/>
        <v/>
      </c>
      <c r="I273" s="182" t="str">
        <f>IF(Exploitation!L61="","",Exploitation!L61)</f>
        <v/>
      </c>
      <c r="J273" s="182" t="str">
        <f>IF(Exploitation!K61="","",Exploitation!K61)</f>
        <v/>
      </c>
      <c r="K273" s="184">
        <f>'Données d''entrée'!$D$471</f>
        <v>0.3</v>
      </c>
      <c r="L273" s="185">
        <f t="shared" si="188"/>
        <v>0</v>
      </c>
      <c r="M273" s="182">
        <f>'Données d''entrée'!$D$474</f>
        <v>0.46</v>
      </c>
      <c r="N273" s="183">
        <f t="shared" si="185"/>
        <v>0</v>
      </c>
      <c r="O273" s="183">
        <f>IF(D273=100%,IF(G273='Données d''entrée'!$D$484,Emissions!L273+Emissions!N273,0),0)</f>
        <v>0</v>
      </c>
      <c r="P273" s="183">
        <f>IF(E273=100%,IF(G273='Données d''entrée'!$D$484,Emissions!L273+Emissions!N273,0),0)</f>
        <v>0</v>
      </c>
      <c r="Q273" s="318" t="e">
        <f>HLOOKUP(Emissions!$C$13,'Données d''entrée'!$D$502:$L$511,4,FALSE)</f>
        <v>#N/A</v>
      </c>
      <c r="R273" s="318" t="e">
        <f>HLOOKUP(Emissions!$C$13,'Données d''entrée'!$D$502:$L$511,8,FALSE)</f>
        <v>#N/A</v>
      </c>
      <c r="S273" s="185" t="e">
        <f>'Données d''entrée'!$C$471*'Données d''entrée'!$C$540*'Données d''entrée'!$C$539*Emissions!Q273/100*O273</f>
        <v>#N/A</v>
      </c>
      <c r="T273" s="185" t="e">
        <f>'Données d''entrée'!$C$471*'Données d''entrée'!$C$540*'Données d''entrée'!$C$539*Emissions!R273/100*P273</f>
        <v>#N/A</v>
      </c>
      <c r="U273" s="185">
        <f>IF(F273='Données d''entrée'!$B$521,'Données d''entrée'!$C$522*(L273+N273-O273-P273),IF(D273=100%,L273+N273-O273,0))</f>
        <v>0</v>
      </c>
      <c r="V273" s="185">
        <f>IF(F273='Données d''entrée'!$B$521,'Données d''entrée'!$C$523*(L273+N273-O273-P273),IF(E273=100%,L273+N273-P273,0))</f>
        <v>0</v>
      </c>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row>
    <row r="274" spans="1:71" hidden="1" x14ac:dyDescent="0.35">
      <c r="A274" s="130">
        <v>9</v>
      </c>
      <c r="B274" s="156" t="str">
        <f>IF(Exploitation!B23="","",Exploitation!B23)</f>
        <v/>
      </c>
      <c r="C274" s="180" t="str">
        <f t="shared" ref="C274:F274" si="195">C83</f>
        <v/>
      </c>
      <c r="D274" s="181" t="str">
        <f t="shared" si="195"/>
        <v/>
      </c>
      <c r="E274" s="181" t="str">
        <f t="shared" si="195"/>
        <v/>
      </c>
      <c r="F274" s="181" t="str">
        <f t="shared" si="195"/>
        <v/>
      </c>
      <c r="G274" s="182" t="str">
        <f>IF(Exploitation!E62="","",Exploitation!E62)</f>
        <v/>
      </c>
      <c r="H274" s="183" t="str">
        <f t="shared" si="187"/>
        <v/>
      </c>
      <c r="I274" s="182" t="str">
        <f>IF(Exploitation!L62="","",Exploitation!L62)</f>
        <v/>
      </c>
      <c r="J274" s="182" t="str">
        <f>IF(Exploitation!K62="","",Exploitation!K62)</f>
        <v/>
      </c>
      <c r="K274" s="184">
        <f>'Données d''entrée'!$D$471</f>
        <v>0.3</v>
      </c>
      <c r="L274" s="185">
        <f t="shared" si="188"/>
        <v>0</v>
      </c>
      <c r="M274" s="182">
        <f>'Données d''entrée'!$D$474</f>
        <v>0.46</v>
      </c>
      <c r="N274" s="183">
        <f t="shared" si="185"/>
        <v>0</v>
      </c>
      <c r="O274" s="183">
        <f>IF(D274=100%,IF(G274='Données d''entrée'!$D$484,Emissions!L274+Emissions!N274,0),0)</f>
        <v>0</v>
      </c>
      <c r="P274" s="183">
        <f>IF(E274=100%,IF(G274='Données d''entrée'!$D$484,Emissions!L274+Emissions!N274,0),0)</f>
        <v>0</v>
      </c>
      <c r="Q274" s="318" t="e">
        <f>HLOOKUP(Emissions!$C$13,'Données d''entrée'!$D$502:$L$511,4,FALSE)</f>
        <v>#N/A</v>
      </c>
      <c r="R274" s="318" t="e">
        <f>HLOOKUP(Emissions!$C$13,'Données d''entrée'!$D$502:$L$511,8,FALSE)</f>
        <v>#N/A</v>
      </c>
      <c r="S274" s="185" t="e">
        <f>'Données d''entrée'!$C$471*'Données d''entrée'!$C$540*'Données d''entrée'!$C$539*Emissions!Q274/100*O274</f>
        <v>#N/A</v>
      </c>
      <c r="T274" s="185" t="e">
        <f>'Données d''entrée'!$C$471*'Données d''entrée'!$C$540*'Données d''entrée'!$C$539*Emissions!R274/100*P274</f>
        <v>#N/A</v>
      </c>
      <c r="U274" s="185">
        <f>IF(F274='Données d''entrée'!$B$521,'Données d''entrée'!$C$522*(L274+N274-O274-P274),IF(D274=100%,L274+N274-O274,0))</f>
        <v>0</v>
      </c>
      <c r="V274" s="185">
        <f>IF(F274='Données d''entrée'!$B$521,'Données d''entrée'!$C$523*(L274+N274-O274-P274),IF(E274=100%,L274+N274-P274,0))</f>
        <v>0</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row>
    <row r="275" spans="1:71" hidden="1" x14ac:dyDescent="0.35">
      <c r="A275" s="130">
        <v>10</v>
      </c>
      <c r="B275" s="156" t="str">
        <f>IF(Exploitation!B24="","",Exploitation!B24)</f>
        <v/>
      </c>
      <c r="C275" s="180" t="str">
        <f t="shared" ref="C275:F275" si="196">C84</f>
        <v/>
      </c>
      <c r="D275" s="181" t="str">
        <f t="shared" si="196"/>
        <v/>
      </c>
      <c r="E275" s="181" t="str">
        <f t="shared" si="196"/>
        <v/>
      </c>
      <c r="F275" s="181" t="str">
        <f t="shared" si="196"/>
        <v/>
      </c>
      <c r="G275" s="182" t="str">
        <f>IF(Exploitation!E63="","",Exploitation!E63)</f>
        <v/>
      </c>
      <c r="H275" s="183" t="str">
        <f t="shared" si="187"/>
        <v/>
      </c>
      <c r="I275" s="182" t="str">
        <f>IF(Exploitation!L63="","",Exploitation!L63)</f>
        <v/>
      </c>
      <c r="J275" s="182" t="str">
        <f>IF(Exploitation!K63="","",Exploitation!K63)</f>
        <v/>
      </c>
      <c r="K275" s="184">
        <f>'Données d''entrée'!$D$471</f>
        <v>0.3</v>
      </c>
      <c r="L275" s="185">
        <f t="shared" si="188"/>
        <v>0</v>
      </c>
      <c r="M275" s="182">
        <f>'Données d''entrée'!$D$474</f>
        <v>0.46</v>
      </c>
      <c r="N275" s="183">
        <f t="shared" si="185"/>
        <v>0</v>
      </c>
      <c r="O275" s="183">
        <f>IF(D275=100%,IF(G275='Données d''entrée'!$D$484,Emissions!L275+Emissions!N275,0),0)</f>
        <v>0</v>
      </c>
      <c r="P275" s="183">
        <f>IF(E275=100%,IF(G275='Données d''entrée'!$D$484,Emissions!L275+Emissions!N275,0),0)</f>
        <v>0</v>
      </c>
      <c r="Q275" s="318" t="e">
        <f>HLOOKUP(Emissions!$C$13,'Données d''entrée'!$D$502:$L$511,4,FALSE)</f>
        <v>#N/A</v>
      </c>
      <c r="R275" s="318" t="e">
        <f>HLOOKUP(Emissions!$C$13,'Données d''entrée'!$D$502:$L$511,8,FALSE)</f>
        <v>#N/A</v>
      </c>
      <c r="S275" s="185" t="e">
        <f>'Données d''entrée'!$C$471*'Données d''entrée'!$C$540*'Données d''entrée'!$C$539*Emissions!Q275/100*O275</f>
        <v>#N/A</v>
      </c>
      <c r="T275" s="185" t="e">
        <f>'Données d''entrée'!$C$471*'Données d''entrée'!$C$540*'Données d''entrée'!$C$539*Emissions!R275/100*P275</f>
        <v>#N/A</v>
      </c>
      <c r="U275" s="185">
        <f>IF(F275='Données d''entrée'!$B$521,'Données d''entrée'!$C$522*(L275+N275-O275-P275),IF(D275=100%,L275+N275-O275,0))</f>
        <v>0</v>
      </c>
      <c r="V275" s="185">
        <f>IF(F275='Données d''entrée'!$B$521,'Données d''entrée'!$C$523*(L275+N275-O275-P275),IF(E275=100%,L275+N275-P275,0))</f>
        <v>0</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row>
    <row r="276" spans="1:71" hidden="1" x14ac:dyDescent="0.35">
      <c r="A276" s="130">
        <v>11</v>
      </c>
      <c r="B276" s="156" t="str">
        <f>IF(Exploitation!B25="","",Exploitation!B25)</f>
        <v/>
      </c>
      <c r="C276" s="180" t="str">
        <f t="shared" ref="C276:F276" si="197">C85</f>
        <v/>
      </c>
      <c r="D276" s="181" t="str">
        <f t="shared" si="197"/>
        <v/>
      </c>
      <c r="E276" s="181" t="str">
        <f t="shared" si="197"/>
        <v/>
      </c>
      <c r="F276" s="181" t="str">
        <f t="shared" si="197"/>
        <v/>
      </c>
      <c r="G276" s="182" t="str">
        <f>IF(Exploitation!E64="","",Exploitation!E64)</f>
        <v/>
      </c>
      <c r="H276" s="183" t="str">
        <f t="shared" si="187"/>
        <v/>
      </c>
      <c r="I276" s="182" t="str">
        <f>IF(Exploitation!L64="","",Exploitation!L64)</f>
        <v/>
      </c>
      <c r="J276" s="182" t="str">
        <f>IF(Exploitation!K64="","",Exploitation!K64)</f>
        <v/>
      </c>
      <c r="K276" s="184">
        <f>'Données d''entrée'!$D$471</f>
        <v>0.3</v>
      </c>
      <c r="L276" s="185">
        <f t="shared" si="188"/>
        <v>0</v>
      </c>
      <c r="M276" s="182">
        <f>'Données d''entrée'!$D$474</f>
        <v>0.46</v>
      </c>
      <c r="N276" s="183">
        <f t="shared" si="185"/>
        <v>0</v>
      </c>
      <c r="O276" s="183">
        <f>IF(D276=100%,IF(G276='Données d''entrée'!$D$484,Emissions!L276+Emissions!N276,0),0)</f>
        <v>0</v>
      </c>
      <c r="P276" s="183">
        <f>IF(E276=100%,IF(G276='Données d''entrée'!$D$484,Emissions!L276+Emissions!N276,0),0)</f>
        <v>0</v>
      </c>
      <c r="Q276" s="318" t="e">
        <f>HLOOKUP(Emissions!$C$13,'Données d''entrée'!$D$502:$L$511,4,FALSE)</f>
        <v>#N/A</v>
      </c>
      <c r="R276" s="318" t="e">
        <f>HLOOKUP(Emissions!$C$13,'Données d''entrée'!$D$502:$L$511,8,FALSE)</f>
        <v>#N/A</v>
      </c>
      <c r="S276" s="185" t="e">
        <f>'Données d''entrée'!$C$471*'Données d''entrée'!$C$540*'Données d''entrée'!$C$539*Emissions!Q276/100*O276</f>
        <v>#N/A</v>
      </c>
      <c r="T276" s="185" t="e">
        <f>'Données d''entrée'!$C$471*'Données d''entrée'!$C$540*'Données d''entrée'!$C$539*Emissions!R276/100*P276</f>
        <v>#N/A</v>
      </c>
      <c r="U276" s="185">
        <f>IF(F276='Données d''entrée'!$B$521,'Données d''entrée'!$C$522*(L276+N276-O276-P276),IF(D276=100%,L276+N276-O276,0))</f>
        <v>0</v>
      </c>
      <c r="V276" s="185">
        <f>IF(F276='Données d''entrée'!$B$521,'Données d''entrée'!$C$523*(L276+N276-O276-P276),IF(E276=100%,L276+N276-P276,0))</f>
        <v>0</v>
      </c>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row>
    <row r="277" spans="1:71" hidden="1" x14ac:dyDescent="0.35">
      <c r="A277" s="130">
        <v>12</v>
      </c>
      <c r="B277" s="156" t="str">
        <f>IF(Exploitation!B26="","",Exploitation!B26)</f>
        <v/>
      </c>
      <c r="C277" s="180" t="str">
        <f t="shared" ref="C277:F277" si="198">C86</f>
        <v/>
      </c>
      <c r="D277" s="181" t="str">
        <f t="shared" si="198"/>
        <v/>
      </c>
      <c r="E277" s="181" t="str">
        <f t="shared" si="198"/>
        <v/>
      </c>
      <c r="F277" s="181" t="str">
        <f t="shared" si="198"/>
        <v/>
      </c>
      <c r="G277" s="182" t="str">
        <f>IF(Exploitation!E65="","",Exploitation!E65)</f>
        <v/>
      </c>
      <c r="H277" s="183" t="str">
        <f t="shared" si="187"/>
        <v/>
      </c>
      <c r="I277" s="182" t="str">
        <f>IF(Exploitation!L65="","",Exploitation!L65)</f>
        <v/>
      </c>
      <c r="J277" s="182" t="str">
        <f>IF(Exploitation!K65="","",Exploitation!K65)</f>
        <v/>
      </c>
      <c r="K277" s="184">
        <f>'Données d''entrée'!$D$471</f>
        <v>0.3</v>
      </c>
      <c r="L277" s="185">
        <f t="shared" si="188"/>
        <v>0</v>
      </c>
      <c r="M277" s="182">
        <f>'Données d''entrée'!$D$474</f>
        <v>0.46</v>
      </c>
      <c r="N277" s="183">
        <f t="shared" si="185"/>
        <v>0</v>
      </c>
      <c r="O277" s="183">
        <f>IF(D277=100%,IF(G277='Données d''entrée'!$D$484,Emissions!L277+Emissions!N277,0),0)</f>
        <v>0</v>
      </c>
      <c r="P277" s="183">
        <f>IF(E277=100%,IF(G277='Données d''entrée'!$D$484,Emissions!L277+Emissions!N277,0),0)</f>
        <v>0</v>
      </c>
      <c r="Q277" s="318" t="e">
        <f>HLOOKUP(Emissions!$C$13,'Données d''entrée'!$D$502:$L$511,4,FALSE)</f>
        <v>#N/A</v>
      </c>
      <c r="R277" s="318" t="e">
        <f>HLOOKUP(Emissions!$C$13,'Données d''entrée'!$D$502:$L$511,8,FALSE)</f>
        <v>#N/A</v>
      </c>
      <c r="S277" s="185" t="e">
        <f>'Données d''entrée'!$C$471*'Données d''entrée'!$C$540*'Données d''entrée'!$C$539*Emissions!Q277/100*O277</f>
        <v>#N/A</v>
      </c>
      <c r="T277" s="185" t="e">
        <f>'Données d''entrée'!$C$471*'Données d''entrée'!$C$540*'Données d''entrée'!$C$539*Emissions!R277/100*P277</f>
        <v>#N/A</v>
      </c>
      <c r="U277" s="185">
        <f>IF(F277='Données d''entrée'!$B$521,'Données d''entrée'!$C$522*(L277+N277-O277-P277),IF(D277=100%,L277+N277-O277,0))</f>
        <v>0</v>
      </c>
      <c r="V277" s="185">
        <f>IF(F277='Données d''entrée'!$B$521,'Données d''entrée'!$C$523*(L277+N277-O277-P277),IF(E277=100%,L277+N277-P277,0))</f>
        <v>0</v>
      </c>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row>
    <row r="278" spans="1:71" hidden="1" x14ac:dyDescent="0.35">
      <c r="A278" s="130">
        <v>13</v>
      </c>
      <c r="B278" s="156" t="str">
        <f>IF(Exploitation!B27="","",Exploitation!B27)</f>
        <v/>
      </c>
      <c r="C278" s="180" t="str">
        <f t="shared" ref="C278:F278" si="199">C87</f>
        <v/>
      </c>
      <c r="D278" s="181" t="str">
        <f t="shared" si="199"/>
        <v/>
      </c>
      <c r="E278" s="181" t="str">
        <f t="shared" si="199"/>
        <v/>
      </c>
      <c r="F278" s="181" t="str">
        <f t="shared" si="199"/>
        <v/>
      </c>
      <c r="G278" s="182" t="str">
        <f>IF(Exploitation!E66="","",Exploitation!E66)</f>
        <v/>
      </c>
      <c r="H278" s="183" t="str">
        <f t="shared" si="187"/>
        <v/>
      </c>
      <c r="I278" s="182" t="str">
        <f>IF(Exploitation!L66="","",Exploitation!L66)</f>
        <v/>
      </c>
      <c r="J278" s="182" t="str">
        <f>IF(Exploitation!K66="","",Exploitation!K66)</f>
        <v/>
      </c>
      <c r="K278" s="184">
        <f>'Données d''entrée'!$D$471</f>
        <v>0.3</v>
      </c>
      <c r="L278" s="185">
        <f t="shared" si="188"/>
        <v>0</v>
      </c>
      <c r="M278" s="182">
        <f>'Données d''entrée'!$D$474</f>
        <v>0.46</v>
      </c>
      <c r="N278" s="183">
        <f t="shared" si="185"/>
        <v>0</v>
      </c>
      <c r="O278" s="183">
        <f>IF(D278=100%,IF(G278='Données d''entrée'!$D$484,Emissions!L278+Emissions!N278,0),0)</f>
        <v>0</v>
      </c>
      <c r="P278" s="183">
        <f>IF(E278=100%,IF(G278='Données d''entrée'!$D$484,Emissions!L278+Emissions!N278,0),0)</f>
        <v>0</v>
      </c>
      <c r="Q278" s="318" t="e">
        <f>HLOOKUP(Emissions!$C$13,'Données d''entrée'!$D$502:$L$511,4,FALSE)</f>
        <v>#N/A</v>
      </c>
      <c r="R278" s="318" t="e">
        <f>HLOOKUP(Emissions!$C$13,'Données d''entrée'!$D$502:$L$511,8,FALSE)</f>
        <v>#N/A</v>
      </c>
      <c r="S278" s="185" t="e">
        <f>'Données d''entrée'!$C$471*'Données d''entrée'!$C$540*'Données d''entrée'!$C$539*Emissions!Q278/100*O278</f>
        <v>#N/A</v>
      </c>
      <c r="T278" s="185" t="e">
        <f>'Données d''entrée'!$C$471*'Données d''entrée'!$C$540*'Données d''entrée'!$C$539*Emissions!R278/100*P278</f>
        <v>#N/A</v>
      </c>
      <c r="U278" s="185">
        <f>IF(F278='Données d''entrée'!$B$521,'Données d''entrée'!$C$522*(L278+N278-O278-P278),IF(D278=100%,L278+N278-O278,0))</f>
        <v>0</v>
      </c>
      <c r="V278" s="185">
        <f>IF(F278='Données d''entrée'!$B$521,'Données d''entrée'!$C$523*(L278+N278-O278-P278),IF(E278=100%,L278+N278-P278,0))</f>
        <v>0</v>
      </c>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row>
    <row r="279" spans="1:71" hidden="1" x14ac:dyDescent="0.35">
      <c r="A279" s="130">
        <v>14</v>
      </c>
      <c r="B279" s="156" t="str">
        <f>IF(Exploitation!B28="","",Exploitation!B28)</f>
        <v/>
      </c>
      <c r="C279" s="180" t="str">
        <f t="shared" ref="C279:F279" si="200">C88</f>
        <v/>
      </c>
      <c r="D279" s="181" t="str">
        <f t="shared" si="200"/>
        <v/>
      </c>
      <c r="E279" s="181" t="str">
        <f t="shared" si="200"/>
        <v/>
      </c>
      <c r="F279" s="181" t="str">
        <f t="shared" si="200"/>
        <v/>
      </c>
      <c r="G279" s="182" t="str">
        <f>IF(Exploitation!E67="","",Exploitation!E67)</f>
        <v/>
      </c>
      <c r="H279" s="183" t="str">
        <f t="shared" si="187"/>
        <v/>
      </c>
      <c r="I279" s="182" t="str">
        <f>IF(Exploitation!L67="","",Exploitation!L67)</f>
        <v/>
      </c>
      <c r="J279" s="182" t="str">
        <f>IF(Exploitation!K67="","",Exploitation!K67)</f>
        <v/>
      </c>
      <c r="K279" s="184">
        <f>'Données d''entrée'!$D$471</f>
        <v>0.3</v>
      </c>
      <c r="L279" s="185">
        <f t="shared" si="188"/>
        <v>0</v>
      </c>
      <c r="M279" s="182">
        <f>'Données d''entrée'!$D$474</f>
        <v>0.46</v>
      </c>
      <c r="N279" s="183">
        <f t="shared" si="185"/>
        <v>0</v>
      </c>
      <c r="O279" s="183">
        <f>IF(D279=100%,IF(G279='Données d''entrée'!$D$484,Emissions!L279+Emissions!N279,0),0)</f>
        <v>0</v>
      </c>
      <c r="P279" s="183">
        <f>IF(E279=100%,IF(G279='Données d''entrée'!$D$484,Emissions!L279+Emissions!N279,0),0)</f>
        <v>0</v>
      </c>
      <c r="Q279" s="318" t="e">
        <f>HLOOKUP(Emissions!$C$13,'Données d''entrée'!$D$502:$L$511,4,FALSE)</f>
        <v>#N/A</v>
      </c>
      <c r="R279" s="318" t="e">
        <f>HLOOKUP(Emissions!$C$13,'Données d''entrée'!$D$502:$L$511,8,FALSE)</f>
        <v>#N/A</v>
      </c>
      <c r="S279" s="185" t="e">
        <f>'Données d''entrée'!$C$471*'Données d''entrée'!$C$540*'Données d''entrée'!$C$539*Emissions!Q279/100*O279</f>
        <v>#N/A</v>
      </c>
      <c r="T279" s="185" t="e">
        <f>'Données d''entrée'!$C$471*'Données d''entrée'!$C$540*'Données d''entrée'!$C$539*Emissions!R279/100*P279</f>
        <v>#N/A</v>
      </c>
      <c r="U279" s="185">
        <f>IF(F279='Données d''entrée'!$B$521,'Données d''entrée'!$C$522*(L279+N279-O279-P279),IF(D279=100%,L279+N279-O279,0))</f>
        <v>0</v>
      </c>
      <c r="V279" s="185">
        <f>IF(F279='Données d''entrée'!$B$521,'Données d''entrée'!$C$523*(L279+N279-O279-P279),IF(E279=100%,L279+N279-P279,0))</f>
        <v>0</v>
      </c>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row>
    <row r="280" spans="1:71" hidden="1" x14ac:dyDescent="0.35">
      <c r="A280" s="130">
        <v>15</v>
      </c>
      <c r="B280" s="156" t="str">
        <f>IF(Exploitation!B29="","",Exploitation!B29)</f>
        <v/>
      </c>
      <c r="C280" s="180" t="str">
        <f t="shared" ref="C280:F280" si="201">C89</f>
        <v/>
      </c>
      <c r="D280" s="181" t="str">
        <f t="shared" si="201"/>
        <v/>
      </c>
      <c r="E280" s="181" t="str">
        <f t="shared" si="201"/>
        <v/>
      </c>
      <c r="F280" s="181" t="str">
        <f t="shared" si="201"/>
        <v/>
      </c>
      <c r="G280" s="182" t="str">
        <f>IF(Exploitation!E68="","",Exploitation!E68)</f>
        <v/>
      </c>
      <c r="H280" s="183" t="str">
        <f t="shared" si="187"/>
        <v/>
      </c>
      <c r="I280" s="182" t="str">
        <f>IF(Exploitation!L68="","",Exploitation!L68)</f>
        <v/>
      </c>
      <c r="J280" s="182" t="str">
        <f>IF(Exploitation!K68="","",Exploitation!K68)</f>
        <v/>
      </c>
      <c r="K280" s="184">
        <f>'Données d''entrée'!$D$471</f>
        <v>0.3</v>
      </c>
      <c r="L280" s="185">
        <f t="shared" si="188"/>
        <v>0</v>
      </c>
      <c r="M280" s="182">
        <f>'Données d''entrée'!$D$474</f>
        <v>0.46</v>
      </c>
      <c r="N280" s="183">
        <f t="shared" si="185"/>
        <v>0</v>
      </c>
      <c r="O280" s="183">
        <f>IF(D280=100%,IF(G280='Données d''entrée'!$D$484,Emissions!L280+Emissions!N280,0),0)</f>
        <v>0</v>
      </c>
      <c r="P280" s="183">
        <f>IF(E280=100%,IF(G280='Données d''entrée'!$D$484,Emissions!L280+Emissions!N280,0),0)</f>
        <v>0</v>
      </c>
      <c r="Q280" s="318" t="e">
        <f>HLOOKUP(Emissions!$C$13,'Données d''entrée'!$D$502:$L$511,4,FALSE)</f>
        <v>#N/A</v>
      </c>
      <c r="R280" s="318" t="e">
        <f>HLOOKUP(Emissions!$C$13,'Données d''entrée'!$D$502:$L$511,8,FALSE)</f>
        <v>#N/A</v>
      </c>
      <c r="S280" s="185" t="e">
        <f>'Données d''entrée'!$C$471*'Données d''entrée'!$C$540*'Données d''entrée'!$C$539*Emissions!Q280/100*O280</f>
        <v>#N/A</v>
      </c>
      <c r="T280" s="185" t="e">
        <f>'Données d''entrée'!$C$471*'Données d''entrée'!$C$540*'Données d''entrée'!$C$539*Emissions!R280/100*P280</f>
        <v>#N/A</v>
      </c>
      <c r="U280" s="185">
        <f>IF(F280='Données d''entrée'!$B$521,'Données d''entrée'!$C$522*(L280+N280-O280-P280),IF(D280=100%,L280+N280-O280,0))</f>
        <v>0</v>
      </c>
      <c r="V280" s="185">
        <f>IF(F280='Données d''entrée'!$B$521,'Données d''entrée'!$C$523*(L280+N280-O280-P280),IF(E280=100%,L280+N280-P280,0))</f>
        <v>0</v>
      </c>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row>
    <row r="281" spans="1:71" hidden="1" x14ac:dyDescent="0.35">
      <c r="A281" s="130">
        <v>16</v>
      </c>
      <c r="B281" s="156" t="str">
        <f>IF(Exploitation!B30="","",Exploitation!B30)</f>
        <v/>
      </c>
      <c r="C281" s="180" t="str">
        <f t="shared" ref="C281:F281" si="202">C90</f>
        <v/>
      </c>
      <c r="D281" s="181" t="str">
        <f t="shared" si="202"/>
        <v/>
      </c>
      <c r="E281" s="181" t="str">
        <f t="shared" si="202"/>
        <v/>
      </c>
      <c r="F281" s="181" t="str">
        <f t="shared" si="202"/>
        <v/>
      </c>
      <c r="G281" s="182" t="str">
        <f>IF(Exploitation!E69="","",Exploitation!E69)</f>
        <v/>
      </c>
      <c r="H281" s="183" t="str">
        <f t="shared" si="187"/>
        <v/>
      </c>
      <c r="I281" s="182" t="str">
        <f>IF(Exploitation!L69="","",Exploitation!L69)</f>
        <v/>
      </c>
      <c r="J281" s="182" t="str">
        <f>IF(Exploitation!K69="","",Exploitation!K69)</f>
        <v/>
      </c>
      <c r="K281" s="184">
        <f>'Données d''entrée'!$D$471</f>
        <v>0.3</v>
      </c>
      <c r="L281" s="185">
        <f t="shared" si="188"/>
        <v>0</v>
      </c>
      <c r="M281" s="182">
        <f>'Données d''entrée'!$D$474</f>
        <v>0.46</v>
      </c>
      <c r="N281" s="183">
        <f t="shared" si="185"/>
        <v>0</v>
      </c>
      <c r="O281" s="183">
        <f>IF(D281=100%,IF(G281='Données d''entrée'!$D$484,Emissions!L281+Emissions!N281,0),0)</f>
        <v>0</v>
      </c>
      <c r="P281" s="183">
        <f>IF(E281=100%,IF(G281='Données d''entrée'!$D$484,Emissions!L281+Emissions!N281,0),0)</f>
        <v>0</v>
      </c>
      <c r="Q281" s="318" t="e">
        <f>HLOOKUP(Emissions!$C$13,'Données d''entrée'!$D$502:$L$511,4,FALSE)</f>
        <v>#N/A</v>
      </c>
      <c r="R281" s="318" t="e">
        <f>HLOOKUP(Emissions!$C$13,'Données d''entrée'!$D$502:$L$511,8,FALSE)</f>
        <v>#N/A</v>
      </c>
      <c r="S281" s="185" t="e">
        <f>'Données d''entrée'!$C$471*'Données d''entrée'!$C$540*'Données d''entrée'!$C$539*Emissions!Q281/100*O281</f>
        <v>#N/A</v>
      </c>
      <c r="T281" s="185" t="e">
        <f>'Données d''entrée'!$C$471*'Données d''entrée'!$C$540*'Données d''entrée'!$C$539*Emissions!R281/100*P281</f>
        <v>#N/A</v>
      </c>
      <c r="U281" s="185">
        <f>IF(F281='Données d''entrée'!$B$521,'Données d''entrée'!$C$522*(L281+N281-O281-P281),IF(D281=100%,L281+N281-O281,0))</f>
        <v>0</v>
      </c>
      <c r="V281" s="185">
        <f>IF(F281='Données d''entrée'!$B$521,'Données d''entrée'!$C$523*(L281+N281-O281-P281),IF(E281=100%,L281+N281-P281,0))</f>
        <v>0</v>
      </c>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row>
    <row r="282" spans="1:71" hidden="1" x14ac:dyDescent="0.35">
      <c r="A282" s="130">
        <v>17</v>
      </c>
      <c r="B282" s="156" t="str">
        <f>IF(Exploitation!B31="","",Exploitation!B31)</f>
        <v/>
      </c>
      <c r="C282" s="180" t="str">
        <f t="shared" ref="C282:F282" si="203">C91</f>
        <v/>
      </c>
      <c r="D282" s="181" t="str">
        <f t="shared" si="203"/>
        <v/>
      </c>
      <c r="E282" s="181" t="str">
        <f t="shared" si="203"/>
        <v/>
      </c>
      <c r="F282" s="181" t="str">
        <f t="shared" si="203"/>
        <v/>
      </c>
      <c r="G282" s="182" t="str">
        <f>IF(Exploitation!E70="","",Exploitation!E70)</f>
        <v/>
      </c>
      <c r="H282" s="183" t="str">
        <f t="shared" si="187"/>
        <v/>
      </c>
      <c r="I282" s="182" t="str">
        <f>IF(Exploitation!L70="","",Exploitation!L70)</f>
        <v/>
      </c>
      <c r="J282" s="182" t="str">
        <f>IF(Exploitation!K70="","",Exploitation!K70)</f>
        <v/>
      </c>
      <c r="K282" s="184">
        <f>'Données d''entrée'!$D$471</f>
        <v>0.3</v>
      </c>
      <c r="L282" s="185">
        <f t="shared" si="188"/>
        <v>0</v>
      </c>
      <c r="M282" s="182">
        <f>'Données d''entrée'!$D$474</f>
        <v>0.46</v>
      </c>
      <c r="N282" s="183">
        <f t="shared" si="185"/>
        <v>0</v>
      </c>
      <c r="O282" s="183">
        <f>IF(D282=100%,IF(G282='Données d''entrée'!$D$484,Emissions!L282+Emissions!N282,0),0)</f>
        <v>0</v>
      </c>
      <c r="P282" s="183">
        <f>IF(E282=100%,IF(G282='Données d''entrée'!$D$484,Emissions!L282+Emissions!N282,0),0)</f>
        <v>0</v>
      </c>
      <c r="Q282" s="318" t="e">
        <f>HLOOKUP(Emissions!$C$13,'Données d''entrée'!$D$502:$L$511,4,FALSE)</f>
        <v>#N/A</v>
      </c>
      <c r="R282" s="318" t="e">
        <f>HLOOKUP(Emissions!$C$13,'Données d''entrée'!$D$502:$L$511,8,FALSE)</f>
        <v>#N/A</v>
      </c>
      <c r="S282" s="185" t="e">
        <f>'Données d''entrée'!$C$471*'Données d''entrée'!$C$540*'Données d''entrée'!$C$539*Emissions!Q282/100*O282</f>
        <v>#N/A</v>
      </c>
      <c r="T282" s="185" t="e">
        <f>'Données d''entrée'!$C$471*'Données d''entrée'!$C$540*'Données d''entrée'!$C$539*Emissions!R282/100*P282</f>
        <v>#N/A</v>
      </c>
      <c r="U282" s="185">
        <f>IF(F282='Données d''entrée'!$B$521,'Données d''entrée'!$C$522*(L282+N282-O282-P282),IF(D282=100%,L282+N282-O282,0))</f>
        <v>0</v>
      </c>
      <c r="V282" s="185">
        <f>IF(F282='Données d''entrée'!$B$521,'Données d''entrée'!$C$523*(L282+N282-O282-P282),IF(E282=100%,L282+N282-P282,0))</f>
        <v>0</v>
      </c>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row>
    <row r="283" spans="1:71" hidden="1" x14ac:dyDescent="0.35">
      <c r="A283" s="130">
        <v>18</v>
      </c>
      <c r="B283" s="156" t="str">
        <f>IF(Exploitation!B32="","",Exploitation!B32)</f>
        <v/>
      </c>
      <c r="C283" s="180" t="str">
        <f t="shared" ref="C283:F283" si="204">C92</f>
        <v/>
      </c>
      <c r="D283" s="181" t="str">
        <f t="shared" si="204"/>
        <v/>
      </c>
      <c r="E283" s="181" t="str">
        <f t="shared" si="204"/>
        <v/>
      </c>
      <c r="F283" s="181" t="str">
        <f t="shared" si="204"/>
        <v/>
      </c>
      <c r="G283" s="182" t="str">
        <f>IF(Exploitation!E71="","",Exploitation!E71)</f>
        <v/>
      </c>
      <c r="H283" s="183" t="str">
        <f t="shared" si="187"/>
        <v/>
      </c>
      <c r="I283" s="182" t="str">
        <f>IF(Exploitation!L71="","",Exploitation!L71)</f>
        <v/>
      </c>
      <c r="J283" s="182" t="str">
        <f>IF(Exploitation!K71="","",Exploitation!K71)</f>
        <v/>
      </c>
      <c r="K283" s="184">
        <f>'Données d''entrée'!$D$471</f>
        <v>0.3</v>
      </c>
      <c r="L283" s="185">
        <f t="shared" si="188"/>
        <v>0</v>
      </c>
      <c r="M283" s="182">
        <f>'Données d''entrée'!$D$474</f>
        <v>0.46</v>
      </c>
      <c r="N283" s="183">
        <f t="shared" si="185"/>
        <v>0</v>
      </c>
      <c r="O283" s="183">
        <f>IF(D283=100%,IF(G283='Données d''entrée'!$D$484,Emissions!L283+Emissions!N283,0),0)</f>
        <v>0</v>
      </c>
      <c r="P283" s="183">
        <f>IF(E283=100%,IF(G283='Données d''entrée'!$D$484,Emissions!L283+Emissions!N283,0),0)</f>
        <v>0</v>
      </c>
      <c r="Q283" s="318" t="e">
        <f>HLOOKUP(Emissions!$C$13,'Données d''entrée'!$D$502:$L$511,4,FALSE)</f>
        <v>#N/A</v>
      </c>
      <c r="R283" s="318" t="e">
        <f>HLOOKUP(Emissions!$C$13,'Données d''entrée'!$D$502:$L$511,8,FALSE)</f>
        <v>#N/A</v>
      </c>
      <c r="S283" s="185" t="e">
        <f>'Données d''entrée'!$C$471*'Données d''entrée'!$C$540*'Données d''entrée'!$C$539*Emissions!Q283/100*O283</f>
        <v>#N/A</v>
      </c>
      <c r="T283" s="185" t="e">
        <f>'Données d''entrée'!$C$471*'Données d''entrée'!$C$540*'Données d''entrée'!$C$539*Emissions!R283/100*P283</f>
        <v>#N/A</v>
      </c>
      <c r="U283" s="185">
        <f>IF(F283='Données d''entrée'!$B$521,'Données d''entrée'!$C$522*(L283+N283-O283-P283),IF(D283=100%,L283+N283-O283,0))</f>
        <v>0</v>
      </c>
      <c r="V283" s="185">
        <f>IF(F283='Données d''entrée'!$B$521,'Données d''entrée'!$C$523*(L283+N283-O283-P283),IF(E283=100%,L283+N283-P283,0))</f>
        <v>0</v>
      </c>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row>
    <row r="284" spans="1:71" hidden="1" x14ac:dyDescent="0.35">
      <c r="A284" s="130">
        <v>19</v>
      </c>
      <c r="B284" s="156" t="str">
        <f>IF(Exploitation!B33="","",Exploitation!B33)</f>
        <v/>
      </c>
      <c r="C284" s="180" t="str">
        <f t="shared" ref="C284:F284" si="205">C93</f>
        <v/>
      </c>
      <c r="D284" s="181" t="str">
        <f t="shared" si="205"/>
        <v/>
      </c>
      <c r="E284" s="181" t="str">
        <f t="shared" si="205"/>
        <v/>
      </c>
      <c r="F284" s="181" t="str">
        <f t="shared" si="205"/>
        <v/>
      </c>
      <c r="G284" s="182" t="str">
        <f>IF(Exploitation!E72="","",Exploitation!E72)</f>
        <v/>
      </c>
      <c r="H284" s="183" t="str">
        <f t="shared" si="187"/>
        <v/>
      </c>
      <c r="I284" s="182" t="str">
        <f>IF(Exploitation!L72="","",Exploitation!L72)</f>
        <v/>
      </c>
      <c r="J284" s="182" t="str">
        <f>IF(Exploitation!K72="","",Exploitation!K72)</f>
        <v/>
      </c>
      <c r="K284" s="184">
        <f>'Données d''entrée'!$D$471</f>
        <v>0.3</v>
      </c>
      <c r="L284" s="185">
        <f t="shared" si="188"/>
        <v>0</v>
      </c>
      <c r="M284" s="182">
        <f>'Données d''entrée'!$D$474</f>
        <v>0.46</v>
      </c>
      <c r="N284" s="183">
        <f t="shared" si="185"/>
        <v>0</v>
      </c>
      <c r="O284" s="183">
        <f>IF(D284=100%,IF(G284='Données d''entrée'!$D$484,Emissions!L284+Emissions!N284,0),0)</f>
        <v>0</v>
      </c>
      <c r="P284" s="183">
        <f>IF(E284=100%,IF(G284='Données d''entrée'!$D$484,Emissions!L284+Emissions!N284,0),0)</f>
        <v>0</v>
      </c>
      <c r="Q284" s="318" t="e">
        <f>HLOOKUP(Emissions!$C$13,'Données d''entrée'!$D$502:$L$511,4,FALSE)</f>
        <v>#N/A</v>
      </c>
      <c r="R284" s="318" t="e">
        <f>HLOOKUP(Emissions!$C$13,'Données d''entrée'!$D$502:$L$511,8,FALSE)</f>
        <v>#N/A</v>
      </c>
      <c r="S284" s="185" t="e">
        <f>'Données d''entrée'!$C$471*'Données d''entrée'!$C$540*'Données d''entrée'!$C$539*Emissions!Q284/100*O284</f>
        <v>#N/A</v>
      </c>
      <c r="T284" s="185" t="e">
        <f>'Données d''entrée'!$C$471*'Données d''entrée'!$C$540*'Données d''entrée'!$C$539*Emissions!R284/100*P284</f>
        <v>#N/A</v>
      </c>
      <c r="U284" s="185">
        <f>IF(F284='Données d''entrée'!$B$521,'Données d''entrée'!$C$522*(L284+N284-O284-P284),IF(D284=100%,L284+N284-O284,0))</f>
        <v>0</v>
      </c>
      <c r="V284" s="185">
        <f>IF(F284='Données d''entrée'!$B$521,'Données d''entrée'!$C$523*(L284+N284-O284-P284),IF(E284=100%,L284+N284-P284,0))</f>
        <v>0</v>
      </c>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row>
    <row r="285" spans="1:71" hidden="1" x14ac:dyDescent="0.35">
      <c r="A285" s="130">
        <v>20</v>
      </c>
      <c r="B285" s="156" t="str">
        <f>IF(Exploitation!B34="","",Exploitation!B34)</f>
        <v/>
      </c>
      <c r="C285" s="180" t="str">
        <f t="shared" ref="C285:F285" si="206">C94</f>
        <v/>
      </c>
      <c r="D285" s="181" t="str">
        <f t="shared" si="206"/>
        <v/>
      </c>
      <c r="E285" s="181" t="str">
        <f t="shared" si="206"/>
        <v/>
      </c>
      <c r="F285" s="181" t="str">
        <f t="shared" si="206"/>
        <v/>
      </c>
      <c r="G285" s="182" t="str">
        <f>IF(Exploitation!E73="","",Exploitation!E73)</f>
        <v/>
      </c>
      <c r="H285" s="183" t="str">
        <f t="shared" si="187"/>
        <v/>
      </c>
      <c r="I285" s="182" t="str">
        <f>IF(Exploitation!L73="","",Exploitation!L73)</f>
        <v/>
      </c>
      <c r="J285" s="182" t="str">
        <f>IF(Exploitation!K73="","",Exploitation!K73)</f>
        <v/>
      </c>
      <c r="K285" s="184">
        <f>'Données d''entrée'!$D$471</f>
        <v>0.3</v>
      </c>
      <c r="L285" s="185">
        <f t="shared" si="188"/>
        <v>0</v>
      </c>
      <c r="M285" s="182">
        <f>'Données d''entrée'!$D$474</f>
        <v>0.46</v>
      </c>
      <c r="N285" s="183">
        <f t="shared" si="185"/>
        <v>0</v>
      </c>
      <c r="O285" s="183">
        <f>IF(D285=100%,IF(G285='Données d''entrée'!$D$484,Emissions!L285+Emissions!N285,0),0)</f>
        <v>0</v>
      </c>
      <c r="P285" s="183">
        <f>IF(E285=100%,IF(G285='Données d''entrée'!$D$484,Emissions!L285+Emissions!N285,0),0)</f>
        <v>0</v>
      </c>
      <c r="Q285" s="318" t="e">
        <f>HLOOKUP(Emissions!$C$13,'Données d''entrée'!$D$502:$L$511,4,FALSE)</f>
        <v>#N/A</v>
      </c>
      <c r="R285" s="318" t="e">
        <f>HLOOKUP(Emissions!$C$13,'Données d''entrée'!$D$502:$L$511,8,FALSE)</f>
        <v>#N/A</v>
      </c>
      <c r="S285" s="185" t="e">
        <f>'Données d''entrée'!$C$471*'Données d''entrée'!$C$540*'Données d''entrée'!$C$539*Emissions!Q285/100*O285</f>
        <v>#N/A</v>
      </c>
      <c r="T285" s="185" t="e">
        <f>'Données d''entrée'!$C$471*'Données d''entrée'!$C$540*'Données d''entrée'!$C$539*Emissions!R285/100*P285</f>
        <v>#N/A</v>
      </c>
      <c r="U285" s="185">
        <f>IF(F285='Données d''entrée'!$B$521,'Données d''entrée'!$C$522*(L285+N285-O285-P285),IF(D285=100%,L285+N285-O285,0))</f>
        <v>0</v>
      </c>
      <c r="V285" s="185">
        <f>IF(F285='Données d''entrée'!$B$521,'Données d''entrée'!$C$523*(L285+N285-O285-P285),IF(E285=100%,L285+N285-P285,0))</f>
        <v>0</v>
      </c>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row>
    <row r="286" spans="1:71" hidden="1" x14ac:dyDescent="0.35"/>
    <row r="287" spans="1:71" hidden="1" x14ac:dyDescent="0.35">
      <c r="B287" s="127" t="s">
        <v>624</v>
      </c>
      <c r="L287" s="132"/>
      <c r="N287" s="151"/>
      <c r="O287" s="152"/>
      <c r="AB287" s="153"/>
    </row>
    <row r="288" spans="1:71" hidden="1" x14ac:dyDescent="0.35">
      <c r="B288" s="127"/>
      <c r="N288" s="151"/>
      <c r="O288" s="152"/>
      <c r="AB288" s="153"/>
    </row>
    <row r="289" spans="1:66" hidden="1" x14ac:dyDescent="0.35">
      <c r="C289" s="305" t="s">
        <v>575</v>
      </c>
      <c r="D289" s="306" t="s">
        <v>574</v>
      </c>
      <c r="E289"/>
      <c r="F289"/>
      <c r="G289"/>
      <c r="H289"/>
      <c r="I289"/>
      <c r="J289"/>
      <c r="K289"/>
      <c r="L289"/>
      <c r="M289"/>
      <c r="N289"/>
      <c r="O289"/>
      <c r="AB289" s="153"/>
    </row>
    <row r="290" spans="1:66" hidden="1" x14ac:dyDescent="0.35">
      <c r="B290" s="127"/>
      <c r="C290" s="303" t="s">
        <v>625</v>
      </c>
      <c r="D290" s="303" t="s">
        <v>626</v>
      </c>
      <c r="E290"/>
      <c r="F290"/>
      <c r="G290"/>
      <c r="H290"/>
      <c r="I290"/>
      <c r="J290"/>
      <c r="K290"/>
      <c r="L290"/>
      <c r="M290"/>
      <c r="N290"/>
      <c r="O290"/>
      <c r="V290" s="12"/>
      <c r="W290" s="12"/>
      <c r="X290" s="12"/>
      <c r="Y290" s="12"/>
      <c r="Z290" s="12"/>
      <c r="AA290" s="12"/>
      <c r="AB290" s="12"/>
      <c r="AC290" s="12"/>
      <c r="AD290" s="12"/>
      <c r="AE290" s="12"/>
    </row>
    <row r="291" spans="1:66" ht="28.15" hidden="1" customHeight="1" x14ac:dyDescent="0.35">
      <c r="B291" s="304" t="s">
        <v>591</v>
      </c>
      <c r="C291" s="300">
        <f>SUMIF($I$266:$I$285,$C289,$U$266:$U$285)</f>
        <v>0</v>
      </c>
      <c r="D291" s="300">
        <f>SUMIF($J$266:$J$285,$D289,$V$266:$V$285)</f>
        <v>0</v>
      </c>
      <c r="E291"/>
      <c r="F291"/>
      <c r="G291"/>
      <c r="H291"/>
      <c r="I291"/>
      <c r="J291"/>
      <c r="K291"/>
      <c r="L291"/>
      <c r="M291"/>
      <c r="N291"/>
      <c r="O291"/>
      <c r="V291" s="12"/>
      <c r="W291" s="12"/>
      <c r="X291" s="12"/>
      <c r="Y291" s="12"/>
      <c r="Z291" s="12"/>
      <c r="AA291" s="12"/>
      <c r="AB291" s="12"/>
      <c r="AC291" s="12"/>
      <c r="AD291" s="12"/>
      <c r="AE291" s="12"/>
    </row>
    <row r="292" spans="1:66" hidden="1" x14ac:dyDescent="0.35">
      <c r="B292" s="127"/>
      <c r="E292"/>
      <c r="F292"/>
      <c r="G292"/>
      <c r="H292"/>
      <c r="I292"/>
      <c r="J292"/>
      <c r="K292"/>
      <c r="L292"/>
      <c r="M292"/>
      <c r="N292"/>
      <c r="O292"/>
      <c r="AB292" s="153"/>
    </row>
    <row r="293" spans="1:66" hidden="1" x14ac:dyDescent="0.35">
      <c r="B293" s="127"/>
      <c r="L293" s="12"/>
      <c r="M293" s="12"/>
      <c r="N293" s="151"/>
      <c r="O293" s="152"/>
      <c r="AB293" s="153"/>
    </row>
    <row r="294" spans="1:66" hidden="1" x14ac:dyDescent="0.35">
      <c r="B294" s="127" t="s">
        <v>589</v>
      </c>
      <c r="L294" s="12"/>
      <c r="M294" s="12"/>
      <c r="N294" s="151"/>
      <c r="O294" s="152"/>
      <c r="AB294" s="153"/>
    </row>
    <row r="295" spans="1:66" ht="14.5" hidden="1" customHeight="1" x14ac:dyDescent="0.35">
      <c r="B295" s="127"/>
      <c r="H295" s="522" t="s">
        <v>590</v>
      </c>
      <c r="I295" s="524"/>
      <c r="J295" s="536" t="s">
        <v>627</v>
      </c>
      <c r="K295" s="537"/>
      <c r="L295" s="536" t="s">
        <v>628</v>
      </c>
      <c r="M295" s="537"/>
      <c r="N295"/>
      <c r="O295"/>
      <c r="P295"/>
      <c r="Q295"/>
      <c r="R295"/>
      <c r="S295"/>
      <c r="T295"/>
      <c r="U295"/>
      <c r="V295"/>
      <c r="W295"/>
      <c r="X295"/>
      <c r="Y295"/>
      <c r="Z295"/>
      <c r="AA295"/>
      <c r="AB295"/>
      <c r="AC295"/>
      <c r="AD295"/>
      <c r="AE295"/>
      <c r="AF295"/>
      <c r="AG295"/>
      <c r="AH295"/>
      <c r="AI295"/>
      <c r="AJ295"/>
      <c r="AK295"/>
      <c r="AL295"/>
      <c r="AM295"/>
      <c r="AN295"/>
      <c r="AO295"/>
      <c r="AP295"/>
      <c r="AQ295"/>
      <c r="AR295"/>
      <c r="AS295" s="12"/>
      <c r="AT295" s="12"/>
      <c r="AU295" s="12"/>
      <c r="AV295" s="12"/>
      <c r="AW295" s="12"/>
      <c r="AX295" s="12"/>
      <c r="AY295" s="12"/>
      <c r="AZ295" s="12"/>
      <c r="BA295" s="12"/>
      <c r="BB295" s="12"/>
      <c r="BC295" s="12"/>
      <c r="BD295" s="12"/>
      <c r="BE295" s="12"/>
      <c r="BF295" s="12"/>
      <c r="BG295" s="12"/>
      <c r="BH295" s="12"/>
      <c r="BI295" s="12"/>
      <c r="BJ295" s="12"/>
      <c r="BK295" s="12"/>
      <c r="BL295" s="12"/>
      <c r="BM295" s="12"/>
    </row>
    <row r="296" spans="1:66" ht="79.150000000000006" hidden="1" customHeight="1" x14ac:dyDescent="0.35">
      <c r="B296" s="112" t="s">
        <v>396</v>
      </c>
      <c r="C296" s="112" t="s">
        <v>540</v>
      </c>
      <c r="D296" s="112" t="s">
        <v>579</v>
      </c>
      <c r="E296" s="112" t="s">
        <v>578</v>
      </c>
      <c r="F296" s="112" t="s">
        <v>393</v>
      </c>
      <c r="G296" s="112" t="s">
        <v>394</v>
      </c>
      <c r="H296" s="112" t="s">
        <v>288</v>
      </c>
      <c r="I296" s="112" t="s">
        <v>290</v>
      </c>
      <c r="J296" s="112" t="s">
        <v>625</v>
      </c>
      <c r="K296" s="112" t="s">
        <v>626</v>
      </c>
      <c r="L296" s="112" t="s">
        <v>625</v>
      </c>
      <c r="M296" s="112" t="s">
        <v>626</v>
      </c>
      <c r="N296" s="112" t="s">
        <v>635</v>
      </c>
      <c r="O296" s="112" t="s">
        <v>636</v>
      </c>
      <c r="P296" s="309" t="s">
        <v>637</v>
      </c>
      <c r="Q296" s="112" t="s">
        <v>638</v>
      </c>
      <c r="R296" s="112" t="s">
        <v>639</v>
      </c>
      <c r="S296" s="112" t="s">
        <v>640</v>
      </c>
      <c r="T296"/>
      <c r="U296"/>
      <c r="V296"/>
      <c r="W296"/>
      <c r="X296"/>
      <c r="Y296"/>
      <c r="Z296"/>
      <c r="AA296"/>
      <c r="AB296"/>
      <c r="AC296"/>
      <c r="AD296"/>
      <c r="AE296"/>
      <c r="AF296"/>
      <c r="AG296"/>
      <c r="AH296"/>
      <c r="AI296"/>
      <c r="AJ296"/>
      <c r="AK296"/>
      <c r="AL296"/>
      <c r="AM296"/>
      <c r="AN296"/>
      <c r="AO296"/>
      <c r="AP296"/>
      <c r="AQ296"/>
      <c r="AR296"/>
      <c r="AS296" s="12"/>
      <c r="AT296" s="12"/>
      <c r="AU296" s="12"/>
      <c r="AV296" s="12"/>
      <c r="AW296" s="12"/>
      <c r="AX296" s="12"/>
      <c r="AY296" s="12"/>
      <c r="AZ296" s="12"/>
      <c r="BA296" s="12"/>
      <c r="BB296" s="12"/>
      <c r="BC296" s="12"/>
      <c r="BD296" s="12"/>
      <c r="BE296" s="12"/>
      <c r="BF296" s="12"/>
      <c r="BG296" s="12"/>
      <c r="BH296" s="12"/>
      <c r="BI296" s="12"/>
      <c r="BJ296" s="12"/>
      <c r="BK296" s="12"/>
      <c r="BL296" s="12"/>
      <c r="BM296" s="12"/>
    </row>
    <row r="297" spans="1:66" hidden="1" x14ac:dyDescent="0.35">
      <c r="A297" s="130">
        <v>1</v>
      </c>
      <c r="B297" s="131" t="str">
        <f>IF(Exploitation!B80="","",Exploitation!B80)</f>
        <v/>
      </c>
      <c r="C297" s="131" t="str">
        <f>IF(Exploitation!C80="","",Exploitation!C80)</f>
        <v/>
      </c>
      <c r="D297" s="131">
        <f>IF(Exploitation!D80="",0,Exploitation!D80)</f>
        <v>0</v>
      </c>
      <c r="E297" s="131">
        <f>IF(Exploitation!E80="",0,Exploitation!E80)</f>
        <v>0</v>
      </c>
      <c r="F297" s="156" t="str">
        <f>IF(Exploitation!F80="","",Exploitation!F80)</f>
        <v/>
      </c>
      <c r="G297" s="131" t="str">
        <f>IF(Exploitation!G80="","",Exploitation!G80)</f>
        <v/>
      </c>
      <c r="H297" s="131" t="str">
        <f>IF(Exploitation!H80="","",Exploitation!H80)</f>
        <v/>
      </c>
      <c r="I297" s="131" t="str">
        <f>IF(Exploitation!I80="","",Exploitation!I80)</f>
        <v/>
      </c>
      <c r="J297" s="117">
        <f>SUMIF($I$266:$I$285,B297,$U$266:$U$285)</f>
        <v>0</v>
      </c>
      <c r="K297" s="117">
        <f>SUMIF($J$266:$J$285,B297,$V$266:$V$285)</f>
        <v>0</v>
      </c>
      <c r="L297" s="117">
        <f>IF(E297&lt;&gt;0,$C$291*E297,0)</f>
        <v>0</v>
      </c>
      <c r="M297" s="117">
        <f>IF(D297&lt;&gt;0,$D$291*D297,0)</f>
        <v>0</v>
      </c>
      <c r="N297" s="319">
        <f>IF(C297="Solide",VLOOKUP(F297,CH4_solide_trait,2,FALSE),IF(C297="Liquide",VLOOKUP(F297,CH4_liquide_trait,2,FALSE),0))</f>
        <v>0</v>
      </c>
      <c r="O297" s="319" t="str">
        <f>IF(ISERROR(HLOOKUP(Emissions!$C$13,'Données d''entrée'!$D$502:$L$511,N297,FALSE)),"",HLOOKUP(Emissions!$C$13,'Données d''entrée'!$D$502:$L$511,N297,FALSE))</f>
        <v/>
      </c>
      <c r="P297" s="321">
        <f>IF(ISERROR('Données d''entrée'!$C$471*SUM(J297:M297)*'Données d''entrée'!$C$540*'Données d''entrée'!$C$539*O297/100),0,'Données d''entrée'!$C$471*SUM(J297:M297)*'Données d''entrée'!$C$540*'Données d''entrée'!$C$539*O297/100)</f>
        <v>0</v>
      </c>
      <c r="Q297" s="322">
        <f>IF(N297="FA",VLOOKUP(F297,FA_CH4_Stockage,2,FALSE),1)</f>
        <v>1</v>
      </c>
      <c r="R297" s="320" t="e">
        <f>IF(O297="",VLOOKUP(F297,'Données d''entrée'!$B$528:$D$535,2,FALSE)*SUM(J297:M297)*IF(F297='Données d''entrée'!$B$546,1,Q297),0)</f>
        <v>#N/A</v>
      </c>
      <c r="S297" s="320" t="e">
        <f>IF(O297="",VLOOKUP(F297,'Données d''entrée'!$B$528:$D$535,3,FALSE)*SUM(J297:M297)*Q297,0)</f>
        <v>#N/A</v>
      </c>
      <c r="T297"/>
      <c r="U297"/>
      <c r="V297"/>
      <c r="W297"/>
      <c r="X297"/>
      <c r="Y297"/>
      <c r="Z297"/>
      <c r="AA297"/>
      <c r="AB297"/>
      <c r="AC297"/>
      <c r="AD297"/>
      <c r="AE297"/>
      <c r="AF297"/>
      <c r="AG297"/>
      <c r="AH297"/>
      <c r="AI297"/>
      <c r="AJ297"/>
      <c r="AK297"/>
      <c r="AL297"/>
      <c r="AM297"/>
      <c r="AN297"/>
      <c r="AO297"/>
      <c r="AP297"/>
      <c r="AQ297"/>
      <c r="AR297"/>
      <c r="AS297" s="12"/>
      <c r="AT297" s="12"/>
      <c r="AU297" s="12"/>
      <c r="AV297" s="12"/>
      <c r="AW297" s="12"/>
      <c r="AX297" s="12"/>
      <c r="AY297" s="12"/>
      <c r="AZ297" s="12"/>
      <c r="BA297" s="12"/>
      <c r="BB297" s="12"/>
      <c r="BC297" s="12"/>
      <c r="BD297" s="12"/>
      <c r="BE297" s="12"/>
      <c r="BF297" s="12"/>
      <c r="BG297" s="12"/>
      <c r="BH297" s="12"/>
      <c r="BI297" s="12"/>
      <c r="BJ297" s="12"/>
      <c r="BK297" s="12"/>
      <c r="BL297" s="12"/>
      <c r="BM297" s="12"/>
    </row>
    <row r="298" spans="1:66" hidden="1" x14ac:dyDescent="0.35">
      <c r="A298" s="130">
        <v>2</v>
      </c>
      <c r="B298" s="131" t="str">
        <f>IF(Exploitation!B81="","",Exploitation!B81)</f>
        <v/>
      </c>
      <c r="C298" s="131" t="str">
        <f>IF(Exploitation!C81="","",Exploitation!C81)</f>
        <v/>
      </c>
      <c r="D298" s="131">
        <f>IF(Exploitation!D81="",0,Exploitation!D81)</f>
        <v>0</v>
      </c>
      <c r="E298" s="131">
        <f>IF(Exploitation!E81="",0,Exploitation!E81)</f>
        <v>0</v>
      </c>
      <c r="F298" s="131" t="str">
        <f>IF(Exploitation!F81="","",Exploitation!F81)</f>
        <v/>
      </c>
      <c r="G298" s="131" t="str">
        <f>IF(Exploitation!G81="","",Exploitation!G81)</f>
        <v/>
      </c>
      <c r="H298" s="131" t="str">
        <f>IF(Exploitation!H81="","",Exploitation!H81)</f>
        <v/>
      </c>
      <c r="I298" s="131" t="str">
        <f>IF(Exploitation!I81="","",Exploitation!I81)</f>
        <v/>
      </c>
      <c r="J298" s="117">
        <f>SUMIF($I$266:$I$285,B298,$U$266:$U$285)</f>
        <v>0</v>
      </c>
      <c r="K298" s="117">
        <f>SUMIF($J$266:$J$285,B298,$V$266:$V$285)</f>
        <v>0</v>
      </c>
      <c r="L298" s="117">
        <f>IF(E298&lt;&gt;0,$C$291*E298,0)</f>
        <v>0</v>
      </c>
      <c r="M298" s="117">
        <f t="shared" ref="M298:M301" si="207">IF(D298&lt;&gt;0,$D$291*D298,0)</f>
        <v>0</v>
      </c>
      <c r="N298" s="319">
        <f>IF(C298="Solide",VLOOKUP(F298,CH4_solide_trait,2,FALSE),IF(C298="Liquide",VLOOKUP(F298,CH4_liquide_trait,2,FALSE),0))</f>
        <v>0</v>
      </c>
      <c r="O298" s="319" t="str">
        <f>IF(ISERROR(HLOOKUP(Emissions!$C$13,'Données d''entrée'!$D$502:$L$511,N298,FALSE)),"",HLOOKUP(Emissions!$C$13,'Données d''entrée'!$D$502:$L$511,N298,FALSE))</f>
        <v/>
      </c>
      <c r="P298" s="320">
        <f>IF(ISERROR('Données d''entrée'!$C$471*SUM(J298:M298)*'Données d''entrée'!$C$540*'Données d''entrée'!$C$539*O298/100),0,'Données d''entrée'!$C$471*SUM(J298:M298)*'Données d''entrée'!$C$540*'Données d''entrée'!$C$539*O298/100)</f>
        <v>0</v>
      </c>
      <c r="Q298" s="322">
        <f>IF(N298="FA",VLOOKUP(F298,FA_CH4_Stockage,2,FALSE),1)</f>
        <v>1</v>
      </c>
      <c r="R298" s="320" t="e">
        <f>IF(O298="",VLOOKUP(F298,'Données d''entrée'!$B$528:$D$535,2,FALSE)*SUM(J298:M298)*IF(F298='Données d''entrée'!$B$546,1,Q298),0)</f>
        <v>#N/A</v>
      </c>
      <c r="S298" s="320" t="e">
        <f>IF(O298="",VLOOKUP(F298,'Données d''entrée'!$B$528:$D$535,3,FALSE)*SUM(J298:M298)*Q298,0)</f>
        <v>#N/A</v>
      </c>
      <c r="T298"/>
      <c r="U298"/>
      <c r="V298"/>
      <c r="W298"/>
      <c r="X298"/>
      <c r="Y298"/>
      <c r="Z298"/>
      <c r="AA298"/>
      <c r="AB298"/>
      <c r="AC298"/>
      <c r="AD298"/>
      <c r="AE298"/>
      <c r="AF298"/>
      <c r="AG298"/>
      <c r="AH298"/>
      <c r="AI298"/>
      <c r="AJ298"/>
      <c r="AK298"/>
      <c r="AL298"/>
      <c r="AM298"/>
      <c r="AN298"/>
      <c r="AO298"/>
      <c r="AP298"/>
      <c r="AQ298"/>
      <c r="AR298"/>
      <c r="AS298" s="12"/>
      <c r="AT298" s="12"/>
      <c r="AU298" s="12"/>
      <c r="AV298" s="12"/>
      <c r="AW298" s="12"/>
      <c r="AX298" s="12"/>
      <c r="AY298" s="12"/>
      <c r="AZ298" s="12"/>
      <c r="BA298" s="12"/>
      <c r="BB298" s="12"/>
      <c r="BC298" s="12"/>
      <c r="BD298" s="12"/>
      <c r="BE298" s="12"/>
      <c r="BF298" s="12"/>
      <c r="BG298" s="12"/>
      <c r="BH298" s="12"/>
      <c r="BI298" s="12"/>
      <c r="BJ298" s="12"/>
      <c r="BK298" s="12"/>
      <c r="BL298" s="12"/>
      <c r="BM298" s="12"/>
    </row>
    <row r="299" spans="1:66" hidden="1" x14ac:dyDescent="0.35">
      <c r="A299" s="130">
        <v>3</v>
      </c>
      <c r="B299" s="131" t="str">
        <f>IF(Exploitation!B82="","",Exploitation!B82)</f>
        <v/>
      </c>
      <c r="C299" s="131" t="str">
        <f>IF(Exploitation!C82="","",Exploitation!C82)</f>
        <v/>
      </c>
      <c r="D299" s="131">
        <f>IF(Exploitation!D82="",0,Exploitation!D82)</f>
        <v>0</v>
      </c>
      <c r="E299" s="131">
        <f>IF(Exploitation!E82="",0,Exploitation!E82)</f>
        <v>0</v>
      </c>
      <c r="F299" s="131" t="str">
        <f>IF(Exploitation!F82="","",Exploitation!F82)</f>
        <v/>
      </c>
      <c r="G299" s="131" t="str">
        <f>IF(Exploitation!G82="","",Exploitation!G82)</f>
        <v/>
      </c>
      <c r="H299" s="131" t="str">
        <f>IF(Exploitation!H82="","",Exploitation!H82)</f>
        <v/>
      </c>
      <c r="I299" s="131" t="str">
        <f>IF(Exploitation!I82="","",Exploitation!I82)</f>
        <v/>
      </c>
      <c r="J299" s="117">
        <f>SUMIF($I$266:$I$285,B299,$U$266:$U$285)</f>
        <v>0</v>
      </c>
      <c r="K299" s="117">
        <f>SUMIF($J$266:$J$285,B299,$V$266:$V$285)</f>
        <v>0</v>
      </c>
      <c r="L299" s="117">
        <f t="shared" ref="L299:L301" si="208">IF(E299&lt;&gt;0,$C$291*E299,0)</f>
        <v>0</v>
      </c>
      <c r="M299" s="117">
        <f t="shared" si="207"/>
        <v>0</v>
      </c>
      <c r="N299" s="319">
        <f>IF(C299="Solide",VLOOKUP(F299,CH4_solide_trait,2,FALSE),IF(C299="Liquide",VLOOKUP(F299,CH4_liquide_trait,2,FALSE),0))</f>
        <v>0</v>
      </c>
      <c r="O299" s="319" t="str">
        <f>IF(ISERROR(HLOOKUP(Emissions!$C$13,'Données d''entrée'!$D$502:$L$511,N299,FALSE)),"",HLOOKUP(Emissions!$C$13,'Données d''entrée'!$D$502:$L$511,N299,FALSE))</f>
        <v/>
      </c>
      <c r="P299" s="320">
        <f>IF(ISERROR('Données d''entrée'!$C$471*SUM(J299:M299)*'Données d''entrée'!$C$540*'Données d''entrée'!$C$539*O299/100),0,'Données d''entrée'!$C$471*SUM(J299:M299)*'Données d''entrée'!$C$540*'Données d''entrée'!$C$539*O299/100)</f>
        <v>0</v>
      </c>
      <c r="Q299" s="322">
        <f>IF(N299="FA",VLOOKUP(F299,FA_CH4_Stockage,2,FALSE),1)</f>
        <v>1</v>
      </c>
      <c r="R299" s="320" t="e">
        <f>IF(O299="",VLOOKUP(F299,'Données d''entrée'!$B$528:$D$535,2,FALSE)*SUM(J299:M299)*IF(F299='Données d''entrée'!$B$546,1,Q299),0)</f>
        <v>#N/A</v>
      </c>
      <c r="S299" s="320" t="e">
        <f>IF(O299="",VLOOKUP(F299,'Données d''entrée'!$B$528:$D$535,3,FALSE)*SUM(J299:M299)*Q299,0)</f>
        <v>#N/A</v>
      </c>
      <c r="T299"/>
      <c r="U299"/>
      <c r="V299"/>
      <c r="W299"/>
      <c r="X299"/>
      <c r="Y299"/>
      <c r="Z299"/>
      <c r="AA299"/>
      <c r="AB299"/>
      <c r="AC299"/>
      <c r="AD299"/>
      <c r="AE299"/>
      <c r="AF299"/>
      <c r="AG299"/>
      <c r="AH299"/>
      <c r="AI299"/>
      <c r="AJ299"/>
      <c r="AK299"/>
      <c r="AL299"/>
      <c r="AM299"/>
      <c r="AN299"/>
      <c r="AO299"/>
      <c r="AP299"/>
      <c r="AQ299"/>
      <c r="AR299"/>
      <c r="AS299" s="12"/>
      <c r="AT299" s="12"/>
      <c r="AU299" s="12"/>
      <c r="AV299" s="12"/>
      <c r="AW299" s="12"/>
      <c r="AX299" s="12"/>
      <c r="AY299" s="12"/>
      <c r="AZ299" s="12"/>
      <c r="BA299" s="12"/>
      <c r="BB299" s="12"/>
      <c r="BC299" s="12"/>
      <c r="BD299" s="12"/>
      <c r="BE299" s="12"/>
      <c r="BF299" s="12"/>
      <c r="BG299" s="12"/>
      <c r="BH299" s="12"/>
      <c r="BI299" s="12"/>
      <c r="BJ299" s="12"/>
      <c r="BK299" s="12"/>
      <c r="BL299" s="12"/>
      <c r="BM299" s="12"/>
    </row>
    <row r="300" spans="1:66" hidden="1" x14ac:dyDescent="0.35">
      <c r="A300" s="130">
        <v>4</v>
      </c>
      <c r="B300" s="131" t="str">
        <f>IF(Exploitation!B83="","",Exploitation!B83)</f>
        <v/>
      </c>
      <c r="C300" s="131" t="str">
        <f>IF(Exploitation!C83="","",Exploitation!C83)</f>
        <v/>
      </c>
      <c r="D300" s="131">
        <f>IF(Exploitation!D83="",0,Exploitation!D83)</f>
        <v>0</v>
      </c>
      <c r="E300" s="131">
        <f>IF(Exploitation!E83="",0,Exploitation!E83)</f>
        <v>0</v>
      </c>
      <c r="F300" s="131" t="str">
        <f>IF(Exploitation!F83="","",Exploitation!F83)</f>
        <v/>
      </c>
      <c r="G300" s="131" t="str">
        <f>IF(Exploitation!G83="","",Exploitation!G83)</f>
        <v/>
      </c>
      <c r="H300" s="131" t="str">
        <f>IF(Exploitation!H83="","",Exploitation!H83)</f>
        <v/>
      </c>
      <c r="I300" s="131" t="str">
        <f>IF(Exploitation!I83="","",Exploitation!I83)</f>
        <v/>
      </c>
      <c r="J300" s="117">
        <f>SUMIF($I$266:$I$285,B300,$U$266:$U$285)</f>
        <v>0</v>
      </c>
      <c r="K300" s="117">
        <f>SUMIF($J$266:$J$285,B300,$V$266:$V$285)</f>
        <v>0</v>
      </c>
      <c r="L300" s="117">
        <f t="shared" si="208"/>
        <v>0</v>
      </c>
      <c r="M300" s="117">
        <f t="shared" si="207"/>
        <v>0</v>
      </c>
      <c r="N300" s="319">
        <f>IF(C300="Solide",VLOOKUP(F300,CH4_solide_trait,2,FALSE),IF(C300="Liquide",VLOOKUP(F300,CH4_liquide_trait,2,FALSE),0))</f>
        <v>0</v>
      </c>
      <c r="O300" s="319" t="str">
        <f>IF(ISERROR(HLOOKUP(Emissions!$C$13,'Données d''entrée'!$D$502:$L$511,N300,FALSE)),"",HLOOKUP(Emissions!$C$13,'Données d''entrée'!$D$502:$L$511,N300,FALSE))</f>
        <v/>
      </c>
      <c r="P300" s="320">
        <f>IF(ISERROR('Données d''entrée'!$C$471*SUM(J300:M300)*'Données d''entrée'!$C$540*'Données d''entrée'!$C$539*O300/100),0,'Données d''entrée'!$C$471*SUM(J300:M300)*'Données d''entrée'!$C$540*'Données d''entrée'!$C$539*O300/100)</f>
        <v>0</v>
      </c>
      <c r="Q300" s="322">
        <f>IF(N300="FA",VLOOKUP(F300,FA_CH4_Stockage,2,FALSE),1)</f>
        <v>1</v>
      </c>
      <c r="R300" s="320" t="e">
        <f>IF(O300="",VLOOKUP(F300,'Données d''entrée'!$B$528:$D$535,2,FALSE)*SUM(J300:M300)*IF(F300='Données d''entrée'!$B$546,1,Q300),0)</f>
        <v>#N/A</v>
      </c>
      <c r="S300" s="320" t="e">
        <f>IF(O300="",VLOOKUP(F300,'Données d''entrée'!$B$528:$D$535,3,FALSE)*SUM(J300:M300)*Q300,0)</f>
        <v>#N/A</v>
      </c>
      <c r="T300"/>
      <c r="U300"/>
      <c r="V300"/>
      <c r="W300"/>
      <c r="X300"/>
      <c r="Y300"/>
      <c r="Z300"/>
      <c r="AA300"/>
      <c r="AB300"/>
      <c r="AC300"/>
      <c r="AD300"/>
      <c r="AE300"/>
      <c r="AF300"/>
      <c r="AG300"/>
      <c r="AH300"/>
      <c r="AI300"/>
      <c r="AJ300"/>
      <c r="AK300"/>
      <c r="AL300"/>
      <c r="AM300"/>
      <c r="AN300"/>
      <c r="AO300"/>
      <c r="AP300"/>
      <c r="AQ300"/>
      <c r="AR300"/>
      <c r="AS300" s="12"/>
      <c r="AT300" s="12"/>
      <c r="AU300" s="12"/>
      <c r="AV300" s="12"/>
      <c r="AW300" s="12"/>
      <c r="AX300" s="12"/>
      <c r="AY300" s="12"/>
      <c r="AZ300" s="12"/>
      <c r="BA300" s="12"/>
      <c r="BB300" s="12"/>
      <c r="BC300" s="12"/>
      <c r="BD300" s="12"/>
      <c r="BE300" s="12"/>
      <c r="BF300" s="12"/>
      <c r="BG300" s="12"/>
      <c r="BH300" s="12"/>
      <c r="BI300" s="12"/>
      <c r="BJ300" s="12"/>
      <c r="BK300" s="12"/>
      <c r="BL300" s="12"/>
      <c r="BM300" s="12"/>
    </row>
    <row r="301" spans="1:66" hidden="1" x14ac:dyDescent="0.35">
      <c r="A301" s="130">
        <v>5</v>
      </c>
      <c r="B301" s="131" t="str">
        <f>IF(Exploitation!B84="","",Exploitation!B84)</f>
        <v/>
      </c>
      <c r="C301" s="131" t="str">
        <f>IF(Exploitation!C84="","",Exploitation!C84)</f>
        <v/>
      </c>
      <c r="D301" s="131">
        <f>IF(Exploitation!D84="",0,Exploitation!D84)</f>
        <v>0</v>
      </c>
      <c r="E301" s="131">
        <f>IF(Exploitation!E84="",0,Exploitation!E84)</f>
        <v>0</v>
      </c>
      <c r="F301" s="131" t="str">
        <f>IF(Exploitation!F84="","",Exploitation!F84)</f>
        <v/>
      </c>
      <c r="G301" s="131" t="str">
        <f>IF(Exploitation!G84="","",Exploitation!G84)</f>
        <v/>
      </c>
      <c r="H301" s="131" t="str">
        <f>IF(Exploitation!H84="","",Exploitation!H84)</f>
        <v/>
      </c>
      <c r="I301" s="131" t="str">
        <f>IF(Exploitation!I84="","",Exploitation!I84)</f>
        <v/>
      </c>
      <c r="J301" s="117">
        <f>SUMIF($I$266:$I$285,B301,$U$266:$U$285)</f>
        <v>0</v>
      </c>
      <c r="K301" s="117">
        <f>SUMIF($J$266:$J$285,B301,$V$266:$V$285)</f>
        <v>0</v>
      </c>
      <c r="L301" s="117">
        <f t="shared" si="208"/>
        <v>0</v>
      </c>
      <c r="M301" s="117">
        <f t="shared" si="207"/>
        <v>0</v>
      </c>
      <c r="N301" s="319">
        <f>IF(C301="Solide",VLOOKUP(F301,CH4_solide_trait,2,FALSE),IF(C301="Liquide",VLOOKUP(F301,CH4_liquide_trait,2,FALSE),0))</f>
        <v>0</v>
      </c>
      <c r="O301" s="319" t="str">
        <f>IF(ISERROR(HLOOKUP(Emissions!$C$13,'Données d''entrée'!$D$502:$L$511,N301,FALSE)),"",HLOOKUP(Emissions!$C$13,'Données d''entrée'!$D$502:$L$511,N301,FALSE))</f>
        <v/>
      </c>
      <c r="P301" s="320">
        <f>IF(ISERROR('Données d''entrée'!$C$471*SUM(J301:M301)*'Données d''entrée'!$C$540*'Données d''entrée'!$C$539*O301/100),0,'Données d''entrée'!$C$471*SUM(J301:M301)*'Données d''entrée'!$C$540*'Données d''entrée'!$C$539*O301/100)</f>
        <v>0</v>
      </c>
      <c r="Q301" s="322">
        <f>IF(N301="FA",VLOOKUP(F301,FA_CH4_Stockage,2,FALSE),1)</f>
        <v>1</v>
      </c>
      <c r="R301" s="320" t="e">
        <f>IF(O301="",VLOOKUP(F301,'Données d''entrée'!$B$528:$D$535,2,FALSE)*SUM(J301:M301)*IF(F301='Données d''entrée'!$B$546,1,Q301),0)</f>
        <v>#N/A</v>
      </c>
      <c r="S301" s="320" t="e">
        <f>IF(O301="",VLOOKUP(F301,'Données d''entrée'!$B$528:$D$535,3,FALSE)*SUM(J301:M301)*Q301,0)</f>
        <v>#N/A</v>
      </c>
      <c r="T301"/>
      <c r="U301"/>
      <c r="V301"/>
      <c r="W301"/>
      <c r="X301"/>
      <c r="Y301"/>
      <c r="Z301"/>
      <c r="AA301"/>
      <c r="AB301"/>
      <c r="AC301"/>
      <c r="AD301"/>
      <c r="AE301"/>
      <c r="AF301"/>
      <c r="AG301"/>
      <c r="AH301"/>
      <c r="AI301"/>
      <c r="AJ301"/>
      <c r="AK301"/>
      <c r="AL301"/>
      <c r="AM301"/>
      <c r="AN301"/>
      <c r="AO301"/>
      <c r="AP301"/>
      <c r="AQ301"/>
      <c r="AR301"/>
      <c r="AS301" s="12"/>
      <c r="AT301" s="12"/>
      <c r="AU301" s="12"/>
      <c r="AV301" s="12"/>
      <c r="AW301" s="12"/>
      <c r="AX301" s="12"/>
      <c r="AY301" s="12"/>
      <c r="AZ301" s="12"/>
      <c r="BA301" s="12"/>
      <c r="BB301" s="12"/>
      <c r="BC301" s="12"/>
      <c r="BD301" s="12"/>
      <c r="BE301" s="12"/>
      <c r="BF301" s="12"/>
      <c r="BG301" s="12"/>
      <c r="BH301" s="12"/>
      <c r="BI301" s="12"/>
      <c r="BJ301" s="12"/>
      <c r="BK301" s="12"/>
      <c r="BL301" s="12"/>
      <c r="BM301" s="12"/>
    </row>
    <row r="302" spans="1:66" hidden="1" x14ac:dyDescent="0.35">
      <c r="B302" s="127"/>
      <c r="L302" s="12"/>
      <c r="M302" s="12"/>
      <c r="N302" s="151"/>
      <c r="O302" s="152"/>
      <c r="R302"/>
      <c r="S302"/>
      <c r="T302"/>
      <c r="U302"/>
      <c r="V302"/>
      <c r="W302"/>
      <c r="X302"/>
      <c r="Y302"/>
      <c r="Z302"/>
      <c r="AA302"/>
      <c r="AB302"/>
      <c r="AC302"/>
      <c r="AD302"/>
      <c r="AE302"/>
      <c r="AF302"/>
      <c r="AG302"/>
      <c r="AH302"/>
      <c r="AI302"/>
      <c r="AJ302"/>
      <c r="AK302"/>
      <c r="AL302"/>
      <c r="AM302"/>
      <c r="AN302"/>
      <c r="AO302"/>
      <c r="AP302"/>
      <c r="AQ302"/>
      <c r="AR302"/>
    </row>
    <row r="303" spans="1:66" hidden="1" x14ac:dyDescent="0.35">
      <c r="B303" s="127" t="s">
        <v>480</v>
      </c>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row>
    <row r="304" spans="1:66" hidden="1" x14ac:dyDescent="0.35">
      <c r="M304" s="163"/>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row>
    <row r="305" spans="1:67" ht="36" hidden="1" customHeight="1" x14ac:dyDescent="0.35">
      <c r="G305" s="534" t="s">
        <v>641</v>
      </c>
      <c r="H305" s="535"/>
      <c r="I305" s="536" t="s">
        <v>628</v>
      </c>
      <c r="J305" s="537"/>
      <c r="K305"/>
      <c r="L305"/>
      <c r="M305"/>
      <c r="N305"/>
      <c r="O305"/>
      <c r="P305"/>
      <c r="Q305"/>
      <c r="R305"/>
      <c r="S305"/>
      <c r="T305"/>
      <c r="U305"/>
      <c r="V305"/>
      <c r="W305"/>
      <c r="X305"/>
      <c r="Y305"/>
      <c r="Z305"/>
      <c r="AA305"/>
      <c r="AB305"/>
      <c r="AC305"/>
      <c r="AD305"/>
      <c r="AE305"/>
      <c r="AF305"/>
      <c r="AG305"/>
      <c r="AH305"/>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row>
    <row r="306" spans="1:67" ht="43.5" hidden="1" x14ac:dyDescent="0.35">
      <c r="C306" s="112" t="s">
        <v>294</v>
      </c>
      <c r="D306" s="112" t="s">
        <v>151</v>
      </c>
      <c r="E306" s="112" t="s">
        <v>581</v>
      </c>
      <c r="F306" s="112" t="s">
        <v>582</v>
      </c>
      <c r="G306" s="112" t="s">
        <v>625</v>
      </c>
      <c r="H306" s="112" t="s">
        <v>626</v>
      </c>
      <c r="I306" s="112" t="s">
        <v>625</v>
      </c>
      <c r="J306" s="112" t="s">
        <v>626</v>
      </c>
      <c r="K306" s="323" t="s">
        <v>642</v>
      </c>
      <c r="L306" s="112" t="s">
        <v>636</v>
      </c>
      <c r="M306" s="309" t="s">
        <v>637</v>
      </c>
      <c r="N306"/>
      <c r="O306"/>
      <c r="P306"/>
      <c r="Q306"/>
      <c r="R306"/>
      <c r="S306"/>
      <c r="T306"/>
      <c r="U306"/>
      <c r="V306"/>
      <c r="W306"/>
      <c r="X306"/>
      <c r="Y306"/>
      <c r="Z306"/>
      <c r="AA306"/>
      <c r="AB306"/>
      <c r="AC306"/>
      <c r="AD306"/>
      <c r="AE306"/>
      <c r="AF306"/>
      <c r="AG306"/>
      <c r="AH306"/>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row>
    <row r="307" spans="1:67" hidden="1" x14ac:dyDescent="0.35">
      <c r="A307" s="130">
        <v>1</v>
      </c>
      <c r="B307" s="131" t="str">
        <f>IF(Exploitation!B88="","",Exploitation!B88)</f>
        <v/>
      </c>
      <c r="C307" s="131" t="str">
        <f>IF(Exploitation!C88="","",Exploitation!C88)</f>
        <v/>
      </c>
      <c r="D307" s="131" t="str">
        <f>IF(Exploitation!F88="","",Exploitation!F88)</f>
        <v/>
      </c>
      <c r="E307" s="131">
        <f>IF(Exploitation!D88="",0,Exploitation!D88)</f>
        <v>0</v>
      </c>
      <c r="F307" s="131">
        <f>IF(Exploitation!E88="",0,Exploitation!E88)</f>
        <v>0</v>
      </c>
      <c r="G307" s="117" t="e">
        <f>SUMIF($I$266:$I$285,B307,$U$266:$U$285)+SUMIF($I$297:$I$301,B307,$R$297:$R$301)</f>
        <v>#N/A</v>
      </c>
      <c r="H307" s="117" t="e">
        <f>SUMIF($J$266:$J$285,B307,$V$266:$V$285)+SUMIF($H$297:$H$301,B307,$S$297:$S$301)</f>
        <v>#N/A</v>
      </c>
      <c r="I307" s="117">
        <f>F307*$C$291</f>
        <v>0</v>
      </c>
      <c r="J307" s="117">
        <f>E307*$D$291</f>
        <v>0</v>
      </c>
      <c r="K307" s="117">
        <f>IF(ISERROR(IF(C307="Solide",VLOOKUP(D307,CH4_solide_stockage,2,FALSE),IF(C307="Liquide",VLOOKUP(D307,CH4_liquide_stockage,2,FALSE),0))),"",IF(C307="Solide",VLOOKUP(D307,CH4_solide_stockage,2,FALSE),IF(C307="Liquide",VLOOKUP(D307,CH4_liquide_stockage,2,FALSE),0)))</f>
        <v>0</v>
      </c>
      <c r="L307" s="117" t="str">
        <f>IF(ISERROR(HLOOKUP(Emissions!$C$13,'Données d''entrée'!$D$502:$L$511,K307,FALSE)),"",HLOOKUP(Emissions!$C$13,'Données d''entrée'!$D$502:$L$511,K307,FALSE))</f>
        <v/>
      </c>
      <c r="M307" s="117">
        <f>IF(ISERROR('Données d''entrée'!$C$471*SUM(G307:J307)*'Données d''entrée'!$C$540*'Données d''entrée'!$C$539*L307/100),0,'Données d''entrée'!$C$471*SUM(G307:J307)*'Données d''entrée'!$C$540*'Données d''entrée'!$C$539*L307/100)</f>
        <v>0</v>
      </c>
      <c r="N307"/>
      <c r="O307"/>
      <c r="P307"/>
      <c r="Q307"/>
      <c r="R307"/>
      <c r="S307"/>
      <c r="T307"/>
      <c r="U307"/>
      <c r="V307"/>
      <c r="W307"/>
      <c r="X307"/>
      <c r="Y307"/>
      <c r="Z307"/>
      <c r="AA307"/>
      <c r="AB307"/>
      <c r="AC307"/>
      <c r="AD307"/>
      <c r="AE307"/>
      <c r="AF307"/>
      <c r="AG307"/>
      <c r="AH307"/>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row>
    <row r="308" spans="1:67" hidden="1" x14ac:dyDescent="0.35">
      <c r="A308" s="130">
        <v>2</v>
      </c>
      <c r="B308" s="131" t="str">
        <f>IF(Exploitation!B89="","",Exploitation!B89)</f>
        <v/>
      </c>
      <c r="C308" s="131" t="str">
        <f>IF(Exploitation!C89="","",Exploitation!C89)</f>
        <v/>
      </c>
      <c r="D308" s="131" t="str">
        <f>IF(Exploitation!F89="","",Exploitation!F89)</f>
        <v/>
      </c>
      <c r="E308" s="131">
        <f>IF(Exploitation!D89="",0,Exploitation!D89)</f>
        <v>0</v>
      </c>
      <c r="F308" s="131">
        <f>IF(Exploitation!E89="",0,Exploitation!E89)</f>
        <v>0</v>
      </c>
      <c r="G308" s="117" t="e">
        <f>SUMIF($I$266:$I$285,B308,$U$266:$U$285)+SUMIF($I$297:$I$301,B308,$R$297:$R$301)</f>
        <v>#N/A</v>
      </c>
      <c r="H308" s="117" t="e">
        <f>SUMIF($J$266:$J$285,B308,$V$266:$V$285)+SUMIF($H$297:$H$301,B308,$S$297:$S$301)</f>
        <v>#N/A</v>
      </c>
      <c r="I308" s="117">
        <f t="shared" ref="I308:I311" si="209">F308*$C$291</f>
        <v>0</v>
      </c>
      <c r="J308" s="117">
        <f t="shared" ref="J308:J311" si="210">E308*$D$291</f>
        <v>0</v>
      </c>
      <c r="K308" s="117">
        <f>IF(ISERROR(IF(C308="Solide",VLOOKUP(D308,CH4_solide_stockage,2,FALSE),IF(C308="Liquide",VLOOKUP(D308,CH4_liquide_stockage,2,FALSE),0))),"",IF(C308="Solide",VLOOKUP(D308,CH4_solide_stockage,2,FALSE),IF(C308="Liquide",VLOOKUP(D308,CH4_liquide_stockage,2,FALSE),0)))</f>
        <v>0</v>
      </c>
      <c r="L308" s="117" t="str">
        <f>IF(ISERROR(HLOOKUP(Emissions!$C$13,'Données d''entrée'!$D$502:$L$511,K308,FALSE)),"",HLOOKUP(Emissions!$C$13,'Données d''entrée'!$D$502:$L$511,K308,FALSE))</f>
        <v/>
      </c>
      <c r="M308" s="117">
        <f>IF(ISERROR('Données d''entrée'!$C$471*SUM(G308:J308)*'Données d''entrée'!$C$540*'Données d''entrée'!$C$539*L308/100),0,'Données d''entrée'!$C$471*SUM(G308:J308)*'Données d''entrée'!$C$540*'Données d''entrée'!$C$539*L308/100)</f>
        <v>0</v>
      </c>
      <c r="N308"/>
      <c r="O308"/>
      <c r="P308"/>
      <c r="Q308"/>
      <c r="R308"/>
      <c r="S308"/>
      <c r="T308"/>
      <c r="U308"/>
      <c r="V308"/>
      <c r="W308"/>
      <c r="X308"/>
      <c r="Y308"/>
      <c r="Z308"/>
      <c r="AA308"/>
      <c r="AB308"/>
      <c r="AC308"/>
      <c r="AD308"/>
      <c r="AE308"/>
      <c r="AF308"/>
      <c r="AG308"/>
      <c r="AH308"/>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row>
    <row r="309" spans="1:67" hidden="1" x14ac:dyDescent="0.35">
      <c r="A309" s="130">
        <v>3</v>
      </c>
      <c r="B309" s="131" t="str">
        <f>IF(Exploitation!B90="","",Exploitation!B90)</f>
        <v/>
      </c>
      <c r="C309" s="131" t="str">
        <f>IF(Exploitation!C90="","",Exploitation!C90)</f>
        <v/>
      </c>
      <c r="D309" s="131" t="str">
        <f>IF(Exploitation!F90="","",Exploitation!F90)</f>
        <v/>
      </c>
      <c r="E309" s="131">
        <f>IF(Exploitation!D90="",0,Exploitation!D90)</f>
        <v>0</v>
      </c>
      <c r="F309" s="131">
        <f>IF(Exploitation!E90="",0,Exploitation!E90)</f>
        <v>0</v>
      </c>
      <c r="G309" s="117" t="e">
        <f>SUMIF($I$266:$I$285,B309,$U$266:$U$285)+SUMIF($I$297:$I$301,B309,$R$297:$R$301)</f>
        <v>#N/A</v>
      </c>
      <c r="H309" s="117" t="e">
        <f>SUMIF($J$266:$J$285,B309,$V$266:$V$285)+SUMIF($H$297:$H$301,B309,$S$297:$S$301)</f>
        <v>#N/A</v>
      </c>
      <c r="I309" s="117">
        <f t="shared" si="209"/>
        <v>0</v>
      </c>
      <c r="J309" s="117">
        <f t="shared" si="210"/>
        <v>0</v>
      </c>
      <c r="K309" s="117">
        <f>IF(ISERROR(IF(C309="Solide",VLOOKUP(D309,CH4_solide_stockage,2,FALSE),IF(C309="Liquide",VLOOKUP(D309,CH4_liquide_stockage,2,FALSE),0))),"",IF(C309="Solide",VLOOKUP(D309,CH4_solide_stockage,2,FALSE),IF(C309="Liquide",VLOOKUP(D309,CH4_liquide_stockage,2,FALSE),0)))</f>
        <v>0</v>
      </c>
      <c r="L309" s="117" t="str">
        <f>IF(ISERROR(HLOOKUP(Emissions!$C$13,'Données d''entrée'!$D$502:$L$511,K309,FALSE)),"",HLOOKUP(Emissions!$C$13,'Données d''entrée'!$D$502:$L$511,K309,FALSE))</f>
        <v/>
      </c>
      <c r="M309" s="117">
        <f>IF(ISERROR('Données d''entrée'!$C$471*SUM(G309:J309)*'Données d''entrée'!$C$540*'Données d''entrée'!$C$539*L309/100),0,'Données d''entrée'!$C$471*SUM(G309:J309)*'Données d''entrée'!$C$540*'Données d''entrée'!$C$539*L309/100)</f>
        <v>0</v>
      </c>
      <c r="N309"/>
      <c r="O309"/>
      <c r="P309"/>
      <c r="Q309"/>
      <c r="R309"/>
      <c r="S309"/>
      <c r="T309"/>
      <c r="U309"/>
      <c r="V309"/>
      <c r="W309"/>
      <c r="X309"/>
      <c r="Y309"/>
      <c r="Z309"/>
      <c r="AA309"/>
      <c r="AB309"/>
      <c r="AC309"/>
      <c r="AD309"/>
      <c r="AE309"/>
      <c r="AF309"/>
      <c r="AG309"/>
      <c r="AH309"/>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row>
    <row r="310" spans="1:67" hidden="1" x14ac:dyDescent="0.35">
      <c r="A310" s="130">
        <v>4</v>
      </c>
      <c r="B310" s="131" t="str">
        <f>IF(Exploitation!B91="","",Exploitation!B91)</f>
        <v/>
      </c>
      <c r="C310" s="131" t="str">
        <f>IF(Exploitation!C91="","",Exploitation!C91)</f>
        <v/>
      </c>
      <c r="D310" s="131" t="str">
        <f>IF(Exploitation!F91="","",Exploitation!F91)</f>
        <v/>
      </c>
      <c r="E310" s="131">
        <f>IF(Exploitation!D91="",0,Exploitation!D91)</f>
        <v>0</v>
      </c>
      <c r="F310" s="131">
        <f>IF(Exploitation!E91="",0,Exploitation!E91)</f>
        <v>0</v>
      </c>
      <c r="G310" s="117" t="e">
        <f>SUMIF($I$266:$I$285,B310,$U$266:$U$285)+SUMIF($I$297:$I$301,B310,$R$297:$R$301)</f>
        <v>#N/A</v>
      </c>
      <c r="H310" s="117" t="e">
        <f>SUMIF($J$266:$J$285,B310,$V$266:$V$285)+SUMIF($H$297:$H$301,B310,$S$297:$S$301)</f>
        <v>#N/A</v>
      </c>
      <c r="I310" s="117">
        <f t="shared" si="209"/>
        <v>0</v>
      </c>
      <c r="J310" s="117">
        <f t="shared" si="210"/>
        <v>0</v>
      </c>
      <c r="K310" s="117">
        <f>IF(ISERROR(IF(C310="Solide",VLOOKUP(D310,CH4_solide_stockage,2,FALSE),IF(C310="Liquide",VLOOKUP(D310,CH4_liquide_stockage,2,FALSE),0))),"",IF(C310="Solide",VLOOKUP(D310,CH4_solide_stockage,2,FALSE),IF(C310="Liquide",VLOOKUP(D310,CH4_liquide_stockage,2,FALSE),0)))</f>
        <v>0</v>
      </c>
      <c r="L310" s="117" t="str">
        <f>IF(ISERROR(HLOOKUP(Emissions!$C$13,'Données d''entrée'!$D$502:$L$511,K310,FALSE)),"",HLOOKUP(Emissions!$C$13,'Données d''entrée'!$D$502:$L$511,K310,FALSE))</f>
        <v/>
      </c>
      <c r="M310" s="117">
        <f>IF(ISERROR('Données d''entrée'!$C$471*SUM(G310:J310)*'Données d''entrée'!$C$540*'Données d''entrée'!$C$539*L310/100),0,'Données d''entrée'!$C$471*SUM(G310:J310)*'Données d''entrée'!$C$540*'Données d''entrée'!$C$539*L310/100)</f>
        <v>0</v>
      </c>
      <c r="N310"/>
      <c r="O310"/>
      <c r="P310"/>
      <c r="Q310"/>
      <c r="R310"/>
      <c r="S310"/>
      <c r="T310"/>
      <c r="U310"/>
      <c r="V310"/>
      <c r="W310"/>
      <c r="X310"/>
      <c r="Y310"/>
      <c r="Z310"/>
      <c r="AA310"/>
      <c r="AB310"/>
      <c r="AC310"/>
      <c r="AD310"/>
      <c r="AE310"/>
      <c r="AF310"/>
      <c r="AG310"/>
      <c r="AH310"/>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row>
    <row r="311" spans="1:67" hidden="1" x14ac:dyDescent="0.35">
      <c r="A311" s="130">
        <v>5</v>
      </c>
      <c r="B311" s="131" t="str">
        <f>IF(Exploitation!B92="","",Exploitation!B92)</f>
        <v/>
      </c>
      <c r="C311" s="131" t="str">
        <f>IF(Exploitation!C92="","",Exploitation!C92)</f>
        <v/>
      </c>
      <c r="D311" s="131" t="str">
        <f>IF(Exploitation!F92="","",Exploitation!F92)</f>
        <v/>
      </c>
      <c r="E311" s="131">
        <f>IF(Exploitation!D92="",0,Exploitation!D92)</f>
        <v>0</v>
      </c>
      <c r="F311" s="131">
        <f>IF(Exploitation!E92="",0,Exploitation!E92)</f>
        <v>0</v>
      </c>
      <c r="G311" s="117" t="e">
        <f>SUMIF($I$266:$I$285,B311,$U$266:$U$285)+SUMIF($I$297:$I$301,B311,$R$297:$R$301)</f>
        <v>#N/A</v>
      </c>
      <c r="H311" s="117" t="e">
        <f>SUMIF($J$266:$J$285,B311,$V$266:$V$285)+SUMIF($H$297:$H$301,B311,$S$297:$S$301)</f>
        <v>#N/A</v>
      </c>
      <c r="I311" s="117">
        <f t="shared" si="209"/>
        <v>0</v>
      </c>
      <c r="J311" s="117">
        <f t="shared" si="210"/>
        <v>0</v>
      </c>
      <c r="K311" s="117">
        <f>IF(ISERROR(IF(C311="Solide",VLOOKUP(D311,CH4_solide_stockage,2,FALSE),IF(C311="Liquide",VLOOKUP(D311,CH4_liquide_stockage,2,FALSE),0))),"",IF(C311="Solide",VLOOKUP(D311,CH4_solide_stockage,2,FALSE),IF(C311="Liquide",VLOOKUP(D311,CH4_liquide_stockage,2,FALSE),0)))</f>
        <v>0</v>
      </c>
      <c r="L311" s="117" t="str">
        <f>IF(ISERROR(HLOOKUP(Emissions!$C$13,'Données d''entrée'!$D$502:$L$511,K311,FALSE)),"",HLOOKUP(Emissions!$C$13,'Données d''entrée'!$D$502:$L$511,K311,FALSE))</f>
        <v/>
      </c>
      <c r="M311" s="117">
        <f>IF(ISERROR('Données d''entrée'!$C$471*SUM(G311:J311)*'Données d''entrée'!$C$540*'Données d''entrée'!$C$539*L311/100),0,'Données d''entrée'!$C$471*SUM(G311:J311)*'Données d''entrée'!$C$540*'Données d''entrée'!$C$539*L311/100)</f>
        <v>0</v>
      </c>
      <c r="N311"/>
      <c r="O311"/>
      <c r="P311"/>
      <c r="Q311"/>
      <c r="R311"/>
      <c r="S311"/>
      <c r="T311"/>
      <c r="U311"/>
      <c r="V311"/>
      <c r="W311"/>
      <c r="X311"/>
      <c r="Y311"/>
      <c r="Z311"/>
      <c r="AA311"/>
      <c r="AB311"/>
      <c r="AC311"/>
      <c r="AD311"/>
      <c r="AE311"/>
      <c r="AF311"/>
      <c r="AG311"/>
      <c r="AH311"/>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row>
    <row r="312" spans="1:67" hidden="1" x14ac:dyDescent="0.35">
      <c r="B312" s="127"/>
      <c r="F312"/>
      <c r="G312"/>
      <c r="H312"/>
      <c r="I312"/>
      <c r="J312"/>
      <c r="K312"/>
      <c r="L312"/>
      <c r="M312"/>
      <c r="N312"/>
      <c r="O312"/>
      <c r="P312"/>
      <c r="Q312"/>
      <c r="R312"/>
      <c r="S312"/>
      <c r="AB312" s="153"/>
    </row>
    <row r="313" spans="1:67" hidden="1" x14ac:dyDescent="0.35">
      <c r="B313" s="127"/>
      <c r="L313" s="12"/>
      <c r="M313" s="12"/>
      <c r="N313" s="151"/>
      <c r="O313" s="152"/>
      <c r="AB313" s="153"/>
    </row>
    <row r="314" spans="1:67" ht="52" hidden="1" x14ac:dyDescent="0.6">
      <c r="B314" s="178" t="s">
        <v>249</v>
      </c>
      <c r="C314" s="179">
        <f>IF(ISERROR(SUM($M$307:$M$311,$P$297:$P$301,$S$266:$T$285)),0,SUM($M$307:$M$311,$P$297:$P$301,$S$266:$T$285))</f>
        <v>0</v>
      </c>
      <c r="D314" s="149" t="s">
        <v>227</v>
      </c>
    </row>
    <row r="315" spans="1:67" hidden="1" x14ac:dyDescent="0.35"/>
    <row r="316" spans="1:67" hidden="1" x14ac:dyDescent="0.35"/>
    <row r="317" spans="1:67" ht="26" hidden="1" x14ac:dyDescent="0.6">
      <c r="B317" s="178" t="s">
        <v>250</v>
      </c>
      <c r="C317" s="179">
        <f>$C$259+$C$314</f>
        <v>0</v>
      </c>
      <c r="D317" s="149" t="s">
        <v>227</v>
      </c>
    </row>
    <row r="318" spans="1:67" hidden="1" x14ac:dyDescent="0.35"/>
    <row r="319" spans="1:67" hidden="1" x14ac:dyDescent="0.35"/>
    <row r="320" spans="1:67" s="110" customFormat="1" ht="26" hidden="1" x14ac:dyDescent="0.6">
      <c r="A320" s="106" t="s">
        <v>252</v>
      </c>
    </row>
    <row r="321" spans="1:25" hidden="1" x14ac:dyDescent="0.35"/>
    <row r="322" spans="1:25" ht="15" hidden="1" customHeight="1" x14ac:dyDescent="0.35">
      <c r="K322" s="522" t="s">
        <v>524</v>
      </c>
      <c r="L322" s="523"/>
      <c r="M322" s="523"/>
      <c r="N322" s="524"/>
      <c r="O322" s="522" t="s">
        <v>525</v>
      </c>
      <c r="P322" s="523"/>
      <c r="Q322" s="523"/>
      <c r="R322" s="524"/>
      <c r="S322" s="522" t="s">
        <v>205</v>
      </c>
      <c r="T322" s="523"/>
      <c r="U322" s="523"/>
      <c r="V322" s="524"/>
      <c r="W322" s="522" t="s">
        <v>253</v>
      </c>
      <c r="X322" s="523"/>
      <c r="Y322" s="524"/>
    </row>
    <row r="323" spans="1:25" ht="29" hidden="1" x14ac:dyDescent="0.35">
      <c r="C323" s="112" t="s">
        <v>53</v>
      </c>
      <c r="D323" s="112" t="s">
        <v>230</v>
      </c>
      <c r="E323" s="112" t="s">
        <v>231</v>
      </c>
      <c r="F323" s="112" t="s">
        <v>186</v>
      </c>
      <c r="G323" s="112" t="s">
        <v>332</v>
      </c>
      <c r="H323" s="112" t="s">
        <v>343</v>
      </c>
      <c r="I323" s="112" t="s">
        <v>344</v>
      </c>
      <c r="J323" s="112" t="s">
        <v>345</v>
      </c>
      <c r="K323" s="112" t="s">
        <v>618</v>
      </c>
      <c r="L323" s="112" t="s">
        <v>619</v>
      </c>
      <c r="M323" s="112" t="s">
        <v>256</v>
      </c>
      <c r="N323" s="112" t="s">
        <v>257</v>
      </c>
      <c r="O323" s="112" t="s">
        <v>618</v>
      </c>
      <c r="P323" s="112" t="s">
        <v>619</v>
      </c>
      <c r="Q323" s="112" t="s">
        <v>256</v>
      </c>
      <c r="R323" s="112" t="s">
        <v>257</v>
      </c>
      <c r="S323" s="112" t="s">
        <v>618</v>
      </c>
      <c r="T323" s="112" t="s">
        <v>619</v>
      </c>
      <c r="U323" s="112" t="s">
        <v>256</v>
      </c>
      <c r="V323" s="112" t="s">
        <v>257</v>
      </c>
      <c r="W323" s="112" t="s">
        <v>256</v>
      </c>
      <c r="X323" s="112" t="s">
        <v>257</v>
      </c>
      <c r="Y323" s="112" t="s">
        <v>258</v>
      </c>
    </row>
    <row r="324" spans="1:25" hidden="1" x14ac:dyDescent="0.35">
      <c r="A324" s="130">
        <v>1</v>
      </c>
      <c r="B324" s="131" t="str">
        <f>IF(Exploitation!B15="","",Exploitation!B15)</f>
        <v/>
      </c>
      <c r="C324" s="187" t="str">
        <f>C75</f>
        <v/>
      </c>
      <c r="D324" s="188" t="str">
        <f t="shared" ref="D324:E324" si="211">D75</f>
        <v/>
      </c>
      <c r="E324" s="188" t="str">
        <f t="shared" si="211"/>
        <v/>
      </c>
      <c r="F324" s="188" t="str">
        <f>G75</f>
        <v/>
      </c>
      <c r="G324" s="188" t="str">
        <f>H75</f>
        <v/>
      </c>
      <c r="H324" s="189" t="str">
        <f t="shared" ref="H324:H343" si="212">IF(ISERROR(VLOOKUP(F324,FA_particules_ambiance,2,FALSE)),"",VLOOKUP(F324,FA_particules_ambiance,2,FALSE))</f>
        <v/>
      </c>
      <c r="I324" s="189" t="str">
        <f t="shared" ref="I324:I343" si="213">IF(ISERROR(VLOOKUP(G324,FA_particules_air,2,FALSE)),"",VLOOKUP(G324,FA_particules_air,2,FALSE))</f>
        <v/>
      </c>
      <c r="J324" s="183" t="str">
        <f>IF(H324&lt;I324,H324,I324)</f>
        <v/>
      </c>
      <c r="K324" s="142" t="str">
        <f>IF(D324=100%,'Données d''entrée'!$E$555,"")</f>
        <v/>
      </c>
      <c r="L324" s="142" t="str">
        <f>IF(E324=100%,'Données d''entrée'!$F$555,"")</f>
        <v/>
      </c>
      <c r="M324" s="142" t="str">
        <f>IF(ISERROR(C$22*(1-C$23%/2)*C48*K324*$J324),"",C$22*(1-C$23%/2)*C48*K324*$J324)</f>
        <v/>
      </c>
      <c r="N324" s="117" t="str">
        <f>IF(ISERROR(C$22*(1-C$23%/2)*C48*L324*$J324),"",C$22*(1-C$23%/2)*C48*L324*$J324)</f>
        <v/>
      </c>
      <c r="O324" s="142" t="str">
        <f>IF(D324=100%,'Données d''entrée'!$E$556,"")</f>
        <v/>
      </c>
      <c r="P324" s="142" t="str">
        <f>IF(E324=100%,'Données d''entrée'!$F$556,"")</f>
        <v/>
      </c>
      <c r="Q324" s="142" t="str">
        <f>IF(ISERROR((D$22*(1-D$23%/2)*D48+E$22*(1-E$23%/2)*E48)*O324*$J324),"",(D$22*(1-D$23%/2)*D48+E$22*(1-E$23%/2)*E48)*O324*$J324)</f>
        <v/>
      </c>
      <c r="R324" s="117" t="str">
        <f>IF(ISERROR((D$22*(1-D$23%/2)*D48+E$22*(1-E$23%/2)*E48)*P324*$J324),"",(D$22*(1-D$23%/2)*D48+E$22*(1-E$23%/2)*E48)*P324*$J324)</f>
        <v/>
      </c>
      <c r="S324" s="142" t="str">
        <f>IF(D324=100%,'Données d''entrée'!$E$557,"")</f>
        <v/>
      </c>
      <c r="T324" s="142" t="str">
        <f>IF(E324=100%,'Données d''entrée'!$F$557,"")</f>
        <v/>
      </c>
      <c r="U324" s="142" t="str">
        <f>IF(ISERROR((F$22*(1-F$23%/2)*F48+G$22*(1-G$23%/2)*G48+H$22*(1-H$23%/2)*H48+I$22*(1-I$23%/2)*I48)*S324*$J324),"",(F$22*(1-F$23%/2)*F48+G$22*(1-G$23%/2)*G48+H$22*(1-H$23%/2)*H48+I$22*(1-I$23%/2)*I48)*S324*$J324)</f>
        <v/>
      </c>
      <c r="V324" s="142" t="str">
        <f>IF(ISERROR((F$22*(1-F$23%/2)*F48+G$22*(1-G$23%/2)*G48+H$22*(1-H$23%/2)*H48+I$22*(1-I$23%/2)*I48)*T324*$J324),"",(F$22*(1-F$23%/2)*F48+G$22*(1-G$23%/2)*G48+H$22*(1-H$23%/2)*H48+I$22*(1-I$23%/2)*I48)*T324*$J324)</f>
        <v/>
      </c>
      <c r="W324" s="161">
        <f>SUM(M324,Q324,U324)</f>
        <v>0</v>
      </c>
      <c r="X324" s="117">
        <f>SUM(N324,R324,V324)</f>
        <v>0</v>
      </c>
      <c r="Y324" s="117">
        <f>SUM(W324,X324)</f>
        <v>0</v>
      </c>
    </row>
    <row r="325" spans="1:25" hidden="1" x14ac:dyDescent="0.35">
      <c r="A325" s="130">
        <v>2</v>
      </c>
      <c r="B325" s="131" t="str">
        <f>IF(Exploitation!B16="","",Exploitation!B16)</f>
        <v/>
      </c>
      <c r="C325" s="187" t="str">
        <f t="shared" ref="C325:E325" si="214">C76</f>
        <v/>
      </c>
      <c r="D325" s="188" t="str">
        <f t="shared" si="214"/>
        <v/>
      </c>
      <c r="E325" s="188" t="str">
        <f t="shared" si="214"/>
        <v/>
      </c>
      <c r="F325" s="188" t="str">
        <f t="shared" ref="F325:G340" si="215">G76</f>
        <v/>
      </c>
      <c r="G325" s="188" t="str">
        <f t="shared" si="215"/>
        <v/>
      </c>
      <c r="H325" s="189" t="str">
        <f t="shared" si="212"/>
        <v/>
      </c>
      <c r="I325" s="189" t="str">
        <f t="shared" si="213"/>
        <v/>
      </c>
      <c r="J325" s="183" t="str">
        <f t="shared" ref="J325:J343" si="216">IF(H325&lt;I325,H325,I325)</f>
        <v/>
      </c>
      <c r="K325" s="142" t="str">
        <f>IF(D325=100%,'Données d''entrée'!$E$555,"")</f>
        <v/>
      </c>
      <c r="L325" s="142" t="str">
        <f>IF(E325=100%,'Données d''entrée'!$F$555,"")</f>
        <v/>
      </c>
      <c r="M325" s="142" t="str">
        <f t="shared" ref="M325:M343" si="217">IF(ISERROR(C$22*(1-C$23%/2)*C49*K325*$J325),"",C$22*(1-C$23%/2)*C49*K325*$J325)</f>
        <v/>
      </c>
      <c r="N325" s="117" t="str">
        <f t="shared" ref="N325:N343" si="218">IF(ISERROR(C$22*(1-C$23%/2)*C49*L325*$J325),"",C$22*(1-C$23%/2)*C49*L325*$J325)</f>
        <v/>
      </c>
      <c r="O325" s="142" t="str">
        <f>IF(D325=100%,'Données d''entrée'!$E$556,"")</f>
        <v/>
      </c>
      <c r="P325" s="142" t="str">
        <f>IF(E325=100%,'Données d''entrée'!$F$556,"")</f>
        <v/>
      </c>
      <c r="Q325" s="142" t="str">
        <f t="shared" ref="Q325:Q343" si="219">IF(ISERROR((D$22*(1-D$23%/2)*D49+E$22*(1-E$23%/2)*E49)*O325*$J325),"",(D$22*(1-D$23%/2)*D49+E$22*(1-E$23%/2)*E49)*O325*$J325)</f>
        <v/>
      </c>
      <c r="R325" s="117" t="str">
        <f t="shared" ref="R325:R343" si="220">IF(ISERROR((D$22*(1-D$23%/2)*D49+E$22*(1-E$23%/2)*E49)*P325*$J325),"",(D$22*(1-D$23%/2)*D49+E$22*(1-E$23%/2)*E49)*P325*$J325)</f>
        <v/>
      </c>
      <c r="S325" s="142" t="str">
        <f>IF(D325=100%,'Données d''entrée'!$E$557,"")</f>
        <v/>
      </c>
      <c r="T325" s="142" t="str">
        <f>IF(E325=100%,'Données d''entrée'!$F$557,"")</f>
        <v/>
      </c>
      <c r="U325" s="142" t="str">
        <f t="shared" ref="U325:U343" si="221">IF(ISERROR((F$22*(1-F$23%/2)*F49+G$22*(1-G$23%/2)*G49+H$22*(1-H$23%/2)*H49+I$22*(1-I$23%/2)*I49)*S325*$J325),"",(F$22*(1-F$23%/2)*F49+G$22*(1-G$23%/2)*G49+H$22*(1-H$23%/2)*H49+I$22*(1-I$23%/2)*I49)*S325*$J325)</f>
        <v/>
      </c>
      <c r="V325" s="142" t="str">
        <f t="shared" ref="V325:V343" si="222">IF(ISERROR((F$22*(1-F$23%/2)*F49+G$22*(1-G$23%/2)*G49+H$22*(1-H$23%/2)*H49+I$22*(1-I$23%/2)*I49)*T325*$J325),"",(F$22*(1-F$23%/2)*F49+G$22*(1-G$23%/2)*G49+H$22*(1-H$23%/2)*H49+I$22*(1-I$23%/2)*I49)*T325*$J325)</f>
        <v/>
      </c>
      <c r="W325" s="161">
        <f t="shared" ref="W325:W343" si="223">SUM(M325,Q325,U325)</f>
        <v>0</v>
      </c>
      <c r="X325" s="117">
        <f t="shared" ref="X325:X343" si="224">SUM(N325,R325,V325)</f>
        <v>0</v>
      </c>
      <c r="Y325" s="117">
        <f t="shared" ref="Y325:Y343" si="225">SUM(W325,X325)</f>
        <v>0</v>
      </c>
    </row>
    <row r="326" spans="1:25" hidden="1" x14ac:dyDescent="0.35">
      <c r="A326" s="130">
        <v>3</v>
      </c>
      <c r="B326" s="131" t="str">
        <f>IF(Exploitation!B17="","",Exploitation!B17)</f>
        <v/>
      </c>
      <c r="C326" s="187" t="str">
        <f t="shared" ref="C326:E326" si="226">C77</f>
        <v/>
      </c>
      <c r="D326" s="188" t="str">
        <f t="shared" si="226"/>
        <v/>
      </c>
      <c r="E326" s="188" t="str">
        <f t="shared" si="226"/>
        <v/>
      </c>
      <c r="F326" s="188" t="str">
        <f t="shared" ref="F326" si="227">G77</f>
        <v/>
      </c>
      <c r="G326" s="188" t="str">
        <f t="shared" si="215"/>
        <v/>
      </c>
      <c r="H326" s="189" t="str">
        <f t="shared" si="212"/>
        <v/>
      </c>
      <c r="I326" s="189" t="str">
        <f t="shared" si="213"/>
        <v/>
      </c>
      <c r="J326" s="183" t="str">
        <f t="shared" si="216"/>
        <v/>
      </c>
      <c r="K326" s="142" t="str">
        <f>IF(D326=100%,'Données d''entrée'!$E$555,"")</f>
        <v/>
      </c>
      <c r="L326" s="142" t="str">
        <f>IF(E326=100%,'Données d''entrée'!$F$555,"")</f>
        <v/>
      </c>
      <c r="M326" s="142" t="str">
        <f t="shared" si="217"/>
        <v/>
      </c>
      <c r="N326" s="117" t="str">
        <f t="shared" si="218"/>
        <v/>
      </c>
      <c r="O326" s="142" t="str">
        <f>IF(D326=100%,'Données d''entrée'!$E$556,"")</f>
        <v/>
      </c>
      <c r="P326" s="142" t="str">
        <f>IF(E326=100%,'Données d''entrée'!$F$556,"")</f>
        <v/>
      </c>
      <c r="Q326" s="142" t="str">
        <f t="shared" si="219"/>
        <v/>
      </c>
      <c r="R326" s="117" t="str">
        <f t="shared" si="220"/>
        <v/>
      </c>
      <c r="S326" s="142" t="str">
        <f>IF(D326=100%,'Données d''entrée'!$E$557,"")</f>
        <v/>
      </c>
      <c r="T326" s="142" t="str">
        <f>IF(E326=100%,'Données d''entrée'!$F$557,"")</f>
        <v/>
      </c>
      <c r="U326" s="142" t="str">
        <f t="shared" si="221"/>
        <v/>
      </c>
      <c r="V326" s="142" t="str">
        <f t="shared" si="222"/>
        <v/>
      </c>
      <c r="W326" s="161">
        <f t="shared" si="223"/>
        <v>0</v>
      </c>
      <c r="X326" s="117">
        <f t="shared" si="224"/>
        <v>0</v>
      </c>
      <c r="Y326" s="117">
        <f t="shared" si="225"/>
        <v>0</v>
      </c>
    </row>
    <row r="327" spans="1:25" hidden="1" x14ac:dyDescent="0.35">
      <c r="A327" s="130">
        <v>4</v>
      </c>
      <c r="B327" s="131" t="str">
        <f>IF(Exploitation!B18="","",Exploitation!B18)</f>
        <v/>
      </c>
      <c r="C327" s="187" t="str">
        <f t="shared" ref="C327:E327" si="228">C78</f>
        <v/>
      </c>
      <c r="D327" s="188" t="str">
        <f t="shared" si="228"/>
        <v/>
      </c>
      <c r="E327" s="188" t="str">
        <f t="shared" si="228"/>
        <v/>
      </c>
      <c r="F327" s="188" t="str">
        <f t="shared" ref="F327" si="229">G78</f>
        <v/>
      </c>
      <c r="G327" s="188" t="str">
        <f t="shared" si="215"/>
        <v/>
      </c>
      <c r="H327" s="189" t="str">
        <f t="shared" si="212"/>
        <v/>
      </c>
      <c r="I327" s="189" t="str">
        <f t="shared" si="213"/>
        <v/>
      </c>
      <c r="J327" s="183" t="str">
        <f t="shared" si="216"/>
        <v/>
      </c>
      <c r="K327" s="142" t="str">
        <f>IF(D327=100%,'Données d''entrée'!$E$555,"")</f>
        <v/>
      </c>
      <c r="L327" s="142" t="str">
        <f>IF(E327=100%,'Données d''entrée'!$F$555,"")</f>
        <v/>
      </c>
      <c r="M327" s="142" t="str">
        <f t="shared" si="217"/>
        <v/>
      </c>
      <c r="N327" s="117" t="str">
        <f t="shared" si="218"/>
        <v/>
      </c>
      <c r="O327" s="142" t="str">
        <f>IF(D327=100%,'Données d''entrée'!$E$556,"")</f>
        <v/>
      </c>
      <c r="P327" s="142" t="str">
        <f>IF(E327=100%,'Données d''entrée'!$F$556,"")</f>
        <v/>
      </c>
      <c r="Q327" s="142" t="str">
        <f t="shared" si="219"/>
        <v/>
      </c>
      <c r="R327" s="117" t="str">
        <f t="shared" si="220"/>
        <v/>
      </c>
      <c r="S327" s="142" t="str">
        <f>IF(D327=100%,'Données d''entrée'!$E$557,"")</f>
        <v/>
      </c>
      <c r="T327" s="142" t="str">
        <f>IF(E327=100%,'Données d''entrée'!$F$557,"")</f>
        <v/>
      </c>
      <c r="U327" s="142" t="str">
        <f t="shared" si="221"/>
        <v/>
      </c>
      <c r="V327" s="142" t="str">
        <f t="shared" si="222"/>
        <v/>
      </c>
      <c r="W327" s="161">
        <f t="shared" si="223"/>
        <v>0</v>
      </c>
      <c r="X327" s="117">
        <f t="shared" si="224"/>
        <v>0</v>
      </c>
      <c r="Y327" s="117">
        <f t="shared" si="225"/>
        <v>0</v>
      </c>
    </row>
    <row r="328" spans="1:25" hidden="1" x14ac:dyDescent="0.35">
      <c r="A328" s="130">
        <v>5</v>
      </c>
      <c r="B328" s="131" t="str">
        <f>IF(Exploitation!B19="","",Exploitation!B19)</f>
        <v/>
      </c>
      <c r="C328" s="187" t="str">
        <f t="shared" ref="C328:E328" si="230">C79</f>
        <v/>
      </c>
      <c r="D328" s="188" t="str">
        <f t="shared" si="230"/>
        <v/>
      </c>
      <c r="E328" s="188" t="str">
        <f t="shared" si="230"/>
        <v/>
      </c>
      <c r="F328" s="188" t="str">
        <f t="shared" ref="F328" si="231">G79</f>
        <v/>
      </c>
      <c r="G328" s="188" t="str">
        <f t="shared" si="215"/>
        <v/>
      </c>
      <c r="H328" s="189" t="str">
        <f t="shared" si="212"/>
        <v/>
      </c>
      <c r="I328" s="189" t="str">
        <f t="shared" si="213"/>
        <v/>
      </c>
      <c r="J328" s="183" t="str">
        <f t="shared" si="216"/>
        <v/>
      </c>
      <c r="K328" s="142" t="str">
        <f>IF(D328=100%,'Données d''entrée'!$E$555,"")</f>
        <v/>
      </c>
      <c r="L328" s="142" t="str">
        <f>IF(E328=100%,'Données d''entrée'!$F$555,"")</f>
        <v/>
      </c>
      <c r="M328" s="142" t="str">
        <f t="shared" si="217"/>
        <v/>
      </c>
      <c r="N328" s="117" t="str">
        <f t="shared" si="218"/>
        <v/>
      </c>
      <c r="O328" s="142" t="str">
        <f>IF(D328=100%,'Données d''entrée'!$E$556,"")</f>
        <v/>
      </c>
      <c r="P328" s="142" t="str">
        <f>IF(E328=100%,'Données d''entrée'!$F$556,"")</f>
        <v/>
      </c>
      <c r="Q328" s="142" t="str">
        <f t="shared" si="219"/>
        <v/>
      </c>
      <c r="R328" s="117" t="str">
        <f t="shared" si="220"/>
        <v/>
      </c>
      <c r="S328" s="142" t="str">
        <f>IF(D328=100%,'Données d''entrée'!$E$557,"")</f>
        <v/>
      </c>
      <c r="T328" s="142" t="str">
        <f>IF(E328=100%,'Données d''entrée'!$F$557,"")</f>
        <v/>
      </c>
      <c r="U328" s="142" t="str">
        <f t="shared" si="221"/>
        <v/>
      </c>
      <c r="V328" s="142" t="str">
        <f t="shared" si="222"/>
        <v/>
      </c>
      <c r="W328" s="161">
        <f t="shared" si="223"/>
        <v>0</v>
      </c>
      <c r="X328" s="117">
        <f t="shared" si="224"/>
        <v>0</v>
      </c>
      <c r="Y328" s="117">
        <f t="shared" si="225"/>
        <v>0</v>
      </c>
    </row>
    <row r="329" spans="1:25" hidden="1" x14ac:dyDescent="0.35">
      <c r="A329" s="130">
        <v>6</v>
      </c>
      <c r="B329" s="131" t="str">
        <f>IF(Exploitation!B20="","",Exploitation!B20)</f>
        <v/>
      </c>
      <c r="C329" s="187" t="str">
        <f t="shared" ref="C329:E329" si="232">C80</f>
        <v/>
      </c>
      <c r="D329" s="188" t="str">
        <f t="shared" si="232"/>
        <v/>
      </c>
      <c r="E329" s="188" t="str">
        <f t="shared" si="232"/>
        <v/>
      </c>
      <c r="F329" s="188" t="str">
        <f t="shared" ref="F329" si="233">G80</f>
        <v/>
      </c>
      <c r="G329" s="188" t="str">
        <f t="shared" si="215"/>
        <v/>
      </c>
      <c r="H329" s="189" t="str">
        <f t="shared" si="212"/>
        <v/>
      </c>
      <c r="I329" s="189" t="str">
        <f t="shared" si="213"/>
        <v/>
      </c>
      <c r="J329" s="183" t="str">
        <f t="shared" si="216"/>
        <v/>
      </c>
      <c r="K329" s="142" t="str">
        <f>IF(D329=100%,'Données d''entrée'!$E$555,"")</f>
        <v/>
      </c>
      <c r="L329" s="142" t="str">
        <f>IF(E329=100%,'Données d''entrée'!$F$555,"")</f>
        <v/>
      </c>
      <c r="M329" s="142" t="str">
        <f t="shared" si="217"/>
        <v/>
      </c>
      <c r="N329" s="117" t="str">
        <f t="shared" si="218"/>
        <v/>
      </c>
      <c r="O329" s="142" t="str">
        <f>IF(D329=100%,'Données d''entrée'!$E$556,"")</f>
        <v/>
      </c>
      <c r="P329" s="142" t="str">
        <f>IF(E329=100%,'Données d''entrée'!$F$556,"")</f>
        <v/>
      </c>
      <c r="Q329" s="142" t="str">
        <f t="shared" si="219"/>
        <v/>
      </c>
      <c r="R329" s="117" t="str">
        <f t="shared" si="220"/>
        <v/>
      </c>
      <c r="S329" s="142" t="str">
        <f>IF(D329=100%,'Données d''entrée'!$E$557,"")</f>
        <v/>
      </c>
      <c r="T329" s="142" t="str">
        <f>IF(E329=100%,'Données d''entrée'!$F$557,"")</f>
        <v/>
      </c>
      <c r="U329" s="142" t="str">
        <f t="shared" si="221"/>
        <v/>
      </c>
      <c r="V329" s="142" t="str">
        <f t="shared" si="222"/>
        <v/>
      </c>
      <c r="W329" s="161">
        <f t="shared" si="223"/>
        <v>0</v>
      </c>
      <c r="X329" s="117">
        <f t="shared" si="224"/>
        <v>0</v>
      </c>
      <c r="Y329" s="117">
        <f t="shared" si="225"/>
        <v>0</v>
      </c>
    </row>
    <row r="330" spans="1:25" hidden="1" x14ac:dyDescent="0.35">
      <c r="A330" s="130">
        <v>7</v>
      </c>
      <c r="B330" s="131" t="str">
        <f>IF(Exploitation!B21="","",Exploitation!B21)</f>
        <v/>
      </c>
      <c r="C330" s="187" t="str">
        <f t="shared" ref="C330:E330" si="234">C81</f>
        <v/>
      </c>
      <c r="D330" s="188" t="str">
        <f t="shared" si="234"/>
        <v/>
      </c>
      <c r="E330" s="188" t="str">
        <f t="shared" si="234"/>
        <v/>
      </c>
      <c r="F330" s="188" t="str">
        <f t="shared" ref="F330" si="235">G81</f>
        <v/>
      </c>
      <c r="G330" s="188" t="str">
        <f t="shared" si="215"/>
        <v/>
      </c>
      <c r="H330" s="189" t="str">
        <f t="shared" si="212"/>
        <v/>
      </c>
      <c r="I330" s="189" t="str">
        <f t="shared" si="213"/>
        <v/>
      </c>
      <c r="J330" s="183" t="str">
        <f t="shared" si="216"/>
        <v/>
      </c>
      <c r="K330" s="142" t="str">
        <f>IF(D330=100%,'Données d''entrée'!$E$555,"")</f>
        <v/>
      </c>
      <c r="L330" s="142" t="str">
        <f>IF(E330=100%,'Données d''entrée'!$F$555,"")</f>
        <v/>
      </c>
      <c r="M330" s="142" t="str">
        <f t="shared" si="217"/>
        <v/>
      </c>
      <c r="N330" s="117" t="str">
        <f t="shared" si="218"/>
        <v/>
      </c>
      <c r="O330" s="142" t="str">
        <f>IF(D330=100%,'Données d''entrée'!$E$556,"")</f>
        <v/>
      </c>
      <c r="P330" s="142" t="str">
        <f>IF(E330=100%,'Données d''entrée'!$F$556,"")</f>
        <v/>
      </c>
      <c r="Q330" s="142" t="str">
        <f t="shared" si="219"/>
        <v/>
      </c>
      <c r="R330" s="117" t="str">
        <f t="shared" si="220"/>
        <v/>
      </c>
      <c r="S330" s="142" t="str">
        <f>IF(D330=100%,'Données d''entrée'!$E$557,"")</f>
        <v/>
      </c>
      <c r="T330" s="142" t="str">
        <f>IF(E330=100%,'Données d''entrée'!$F$557,"")</f>
        <v/>
      </c>
      <c r="U330" s="142" t="str">
        <f t="shared" si="221"/>
        <v/>
      </c>
      <c r="V330" s="142" t="str">
        <f t="shared" si="222"/>
        <v/>
      </c>
      <c r="W330" s="161">
        <f t="shared" si="223"/>
        <v>0</v>
      </c>
      <c r="X330" s="117">
        <f t="shared" si="224"/>
        <v>0</v>
      </c>
      <c r="Y330" s="117">
        <f t="shared" si="225"/>
        <v>0</v>
      </c>
    </row>
    <row r="331" spans="1:25" hidden="1" x14ac:dyDescent="0.35">
      <c r="A331" s="130">
        <v>8</v>
      </c>
      <c r="B331" s="131" t="str">
        <f>IF(Exploitation!B22="","",Exploitation!B22)</f>
        <v/>
      </c>
      <c r="C331" s="187" t="str">
        <f t="shared" ref="C331:E331" si="236">C82</f>
        <v/>
      </c>
      <c r="D331" s="188" t="str">
        <f t="shared" si="236"/>
        <v/>
      </c>
      <c r="E331" s="188" t="str">
        <f t="shared" si="236"/>
        <v/>
      </c>
      <c r="F331" s="188" t="str">
        <f t="shared" ref="F331" si="237">G82</f>
        <v/>
      </c>
      <c r="G331" s="188" t="str">
        <f t="shared" si="215"/>
        <v/>
      </c>
      <c r="H331" s="189" t="str">
        <f t="shared" si="212"/>
        <v/>
      </c>
      <c r="I331" s="189" t="str">
        <f t="shared" si="213"/>
        <v/>
      </c>
      <c r="J331" s="183" t="str">
        <f t="shared" si="216"/>
        <v/>
      </c>
      <c r="K331" s="142" t="str">
        <f>IF(D331=100%,'Données d''entrée'!$E$555,"")</f>
        <v/>
      </c>
      <c r="L331" s="142" t="str">
        <f>IF(E331=100%,'Données d''entrée'!$F$555,"")</f>
        <v/>
      </c>
      <c r="M331" s="142" t="str">
        <f t="shared" si="217"/>
        <v/>
      </c>
      <c r="N331" s="117" t="str">
        <f t="shared" si="218"/>
        <v/>
      </c>
      <c r="O331" s="142" t="str">
        <f>IF(D331=100%,'Données d''entrée'!$E$556,"")</f>
        <v/>
      </c>
      <c r="P331" s="142" t="str">
        <f>IF(E331=100%,'Données d''entrée'!$F$556,"")</f>
        <v/>
      </c>
      <c r="Q331" s="142" t="str">
        <f t="shared" si="219"/>
        <v/>
      </c>
      <c r="R331" s="117" t="str">
        <f t="shared" si="220"/>
        <v/>
      </c>
      <c r="S331" s="142" t="str">
        <f>IF(D331=100%,'Données d''entrée'!$E$557,"")</f>
        <v/>
      </c>
      <c r="T331" s="142" t="str">
        <f>IF(E331=100%,'Données d''entrée'!$F$557,"")</f>
        <v/>
      </c>
      <c r="U331" s="142" t="str">
        <f t="shared" si="221"/>
        <v/>
      </c>
      <c r="V331" s="142" t="str">
        <f t="shared" si="222"/>
        <v/>
      </c>
      <c r="W331" s="161">
        <f t="shared" si="223"/>
        <v>0</v>
      </c>
      <c r="X331" s="117">
        <f t="shared" si="224"/>
        <v>0</v>
      </c>
      <c r="Y331" s="117">
        <f t="shared" si="225"/>
        <v>0</v>
      </c>
    </row>
    <row r="332" spans="1:25" hidden="1" x14ac:dyDescent="0.35">
      <c r="A332" s="130">
        <v>9</v>
      </c>
      <c r="B332" s="131" t="str">
        <f>IF(Exploitation!B23="","",Exploitation!B23)</f>
        <v/>
      </c>
      <c r="C332" s="187" t="str">
        <f t="shared" ref="C332:E332" si="238">C83</f>
        <v/>
      </c>
      <c r="D332" s="188" t="str">
        <f t="shared" si="238"/>
        <v/>
      </c>
      <c r="E332" s="188" t="str">
        <f t="shared" si="238"/>
        <v/>
      </c>
      <c r="F332" s="188" t="str">
        <f t="shared" ref="F332" si="239">G83</f>
        <v/>
      </c>
      <c r="G332" s="188" t="str">
        <f t="shared" si="215"/>
        <v/>
      </c>
      <c r="H332" s="189" t="str">
        <f t="shared" si="212"/>
        <v/>
      </c>
      <c r="I332" s="189" t="str">
        <f t="shared" si="213"/>
        <v/>
      </c>
      <c r="J332" s="183" t="str">
        <f t="shared" si="216"/>
        <v/>
      </c>
      <c r="K332" s="142" t="str">
        <f>IF(D332=100%,'Données d''entrée'!$E$555,"")</f>
        <v/>
      </c>
      <c r="L332" s="142" t="str">
        <f>IF(E332=100%,'Données d''entrée'!$F$555,"")</f>
        <v/>
      </c>
      <c r="M332" s="142" t="str">
        <f t="shared" si="217"/>
        <v/>
      </c>
      <c r="N332" s="117" t="str">
        <f t="shared" si="218"/>
        <v/>
      </c>
      <c r="O332" s="142" t="str">
        <f>IF(D332=100%,'Données d''entrée'!$E$556,"")</f>
        <v/>
      </c>
      <c r="P332" s="142" t="str">
        <f>IF(E332=100%,'Données d''entrée'!$F$556,"")</f>
        <v/>
      </c>
      <c r="Q332" s="142" t="str">
        <f t="shared" si="219"/>
        <v/>
      </c>
      <c r="R332" s="117" t="str">
        <f t="shared" si="220"/>
        <v/>
      </c>
      <c r="S332" s="142" t="str">
        <f>IF(D332=100%,'Données d''entrée'!$E$557,"")</f>
        <v/>
      </c>
      <c r="T332" s="142" t="str">
        <f>IF(E332=100%,'Données d''entrée'!$F$557,"")</f>
        <v/>
      </c>
      <c r="U332" s="142" t="str">
        <f t="shared" si="221"/>
        <v/>
      </c>
      <c r="V332" s="142" t="str">
        <f t="shared" si="222"/>
        <v/>
      </c>
      <c r="W332" s="161">
        <f t="shared" si="223"/>
        <v>0</v>
      </c>
      <c r="X332" s="117">
        <f t="shared" si="224"/>
        <v>0</v>
      </c>
      <c r="Y332" s="117">
        <f t="shared" si="225"/>
        <v>0</v>
      </c>
    </row>
    <row r="333" spans="1:25" hidden="1" x14ac:dyDescent="0.35">
      <c r="A333" s="130">
        <v>10</v>
      </c>
      <c r="B333" s="131" t="str">
        <f>IF(Exploitation!B24="","",Exploitation!B24)</f>
        <v/>
      </c>
      <c r="C333" s="187" t="str">
        <f t="shared" ref="C333:E333" si="240">C84</f>
        <v/>
      </c>
      <c r="D333" s="188" t="str">
        <f t="shared" si="240"/>
        <v/>
      </c>
      <c r="E333" s="188" t="str">
        <f t="shared" si="240"/>
        <v/>
      </c>
      <c r="F333" s="188" t="str">
        <f t="shared" ref="F333" si="241">G84</f>
        <v/>
      </c>
      <c r="G333" s="188" t="str">
        <f t="shared" si="215"/>
        <v/>
      </c>
      <c r="H333" s="189" t="str">
        <f t="shared" si="212"/>
        <v/>
      </c>
      <c r="I333" s="189" t="str">
        <f t="shared" si="213"/>
        <v/>
      </c>
      <c r="J333" s="183" t="str">
        <f t="shared" si="216"/>
        <v/>
      </c>
      <c r="K333" s="142" t="str">
        <f>IF(D333=100%,'Données d''entrée'!$E$555,"")</f>
        <v/>
      </c>
      <c r="L333" s="142" t="str">
        <f>IF(E333=100%,'Données d''entrée'!$F$555,"")</f>
        <v/>
      </c>
      <c r="M333" s="142" t="str">
        <f t="shared" si="217"/>
        <v/>
      </c>
      <c r="N333" s="117" t="str">
        <f t="shared" si="218"/>
        <v/>
      </c>
      <c r="O333" s="142" t="str">
        <f>IF(D333=100%,'Données d''entrée'!$E$556,"")</f>
        <v/>
      </c>
      <c r="P333" s="142" t="str">
        <f>IF(E333=100%,'Données d''entrée'!$F$556,"")</f>
        <v/>
      </c>
      <c r="Q333" s="142" t="str">
        <f t="shared" si="219"/>
        <v/>
      </c>
      <c r="R333" s="117" t="str">
        <f t="shared" si="220"/>
        <v/>
      </c>
      <c r="S333" s="142" t="str">
        <f>IF(D333=100%,'Données d''entrée'!$E$557,"")</f>
        <v/>
      </c>
      <c r="T333" s="142" t="str">
        <f>IF(E333=100%,'Données d''entrée'!$F$557,"")</f>
        <v/>
      </c>
      <c r="U333" s="142" t="str">
        <f t="shared" si="221"/>
        <v/>
      </c>
      <c r="V333" s="142" t="str">
        <f t="shared" si="222"/>
        <v/>
      </c>
      <c r="W333" s="161">
        <f t="shared" si="223"/>
        <v>0</v>
      </c>
      <c r="X333" s="117">
        <f t="shared" si="224"/>
        <v>0</v>
      </c>
      <c r="Y333" s="117">
        <f t="shared" si="225"/>
        <v>0</v>
      </c>
    </row>
    <row r="334" spans="1:25" hidden="1" x14ac:dyDescent="0.35">
      <c r="A334" s="130">
        <v>11</v>
      </c>
      <c r="B334" s="131" t="str">
        <f>IF(Exploitation!B25="","",Exploitation!B25)</f>
        <v/>
      </c>
      <c r="C334" s="187" t="str">
        <f t="shared" ref="C334:E334" si="242">C85</f>
        <v/>
      </c>
      <c r="D334" s="188" t="str">
        <f t="shared" si="242"/>
        <v/>
      </c>
      <c r="E334" s="188" t="str">
        <f t="shared" si="242"/>
        <v/>
      </c>
      <c r="F334" s="188" t="str">
        <f t="shared" ref="F334" si="243">G85</f>
        <v/>
      </c>
      <c r="G334" s="188" t="str">
        <f t="shared" si="215"/>
        <v/>
      </c>
      <c r="H334" s="189" t="str">
        <f t="shared" si="212"/>
        <v/>
      </c>
      <c r="I334" s="189" t="str">
        <f t="shared" si="213"/>
        <v/>
      </c>
      <c r="J334" s="183" t="str">
        <f t="shared" si="216"/>
        <v/>
      </c>
      <c r="K334" s="142" t="str">
        <f>IF(D334=100%,'Données d''entrée'!$E$555,"")</f>
        <v/>
      </c>
      <c r="L334" s="142" t="str">
        <f>IF(E334=100%,'Données d''entrée'!$F$555,"")</f>
        <v/>
      </c>
      <c r="M334" s="142" t="str">
        <f t="shared" si="217"/>
        <v/>
      </c>
      <c r="N334" s="117" t="str">
        <f t="shared" si="218"/>
        <v/>
      </c>
      <c r="O334" s="142" t="str">
        <f>IF(D334=100%,'Données d''entrée'!$E$556,"")</f>
        <v/>
      </c>
      <c r="P334" s="142" t="str">
        <f>IF(E334=100%,'Données d''entrée'!$F$556,"")</f>
        <v/>
      </c>
      <c r="Q334" s="142" t="str">
        <f t="shared" si="219"/>
        <v/>
      </c>
      <c r="R334" s="117" t="str">
        <f t="shared" si="220"/>
        <v/>
      </c>
      <c r="S334" s="142" t="str">
        <f>IF(D334=100%,'Données d''entrée'!$E$557,"")</f>
        <v/>
      </c>
      <c r="T334" s="142" t="str">
        <f>IF(E334=100%,'Données d''entrée'!$F$557,"")</f>
        <v/>
      </c>
      <c r="U334" s="142" t="str">
        <f t="shared" si="221"/>
        <v/>
      </c>
      <c r="V334" s="142" t="str">
        <f t="shared" si="222"/>
        <v/>
      </c>
      <c r="W334" s="161">
        <f t="shared" si="223"/>
        <v>0</v>
      </c>
      <c r="X334" s="117">
        <f t="shared" si="224"/>
        <v>0</v>
      </c>
      <c r="Y334" s="117">
        <f t="shared" si="225"/>
        <v>0</v>
      </c>
    </row>
    <row r="335" spans="1:25" hidden="1" x14ac:dyDescent="0.35">
      <c r="A335" s="130">
        <v>12</v>
      </c>
      <c r="B335" s="131" t="str">
        <f>IF(Exploitation!B26="","",Exploitation!B26)</f>
        <v/>
      </c>
      <c r="C335" s="187" t="str">
        <f t="shared" ref="C335:E335" si="244">C86</f>
        <v/>
      </c>
      <c r="D335" s="188" t="str">
        <f t="shared" si="244"/>
        <v/>
      </c>
      <c r="E335" s="188" t="str">
        <f t="shared" si="244"/>
        <v/>
      </c>
      <c r="F335" s="188" t="str">
        <f t="shared" ref="F335" si="245">G86</f>
        <v/>
      </c>
      <c r="G335" s="188" t="str">
        <f t="shared" si="215"/>
        <v/>
      </c>
      <c r="H335" s="189" t="str">
        <f t="shared" si="212"/>
        <v/>
      </c>
      <c r="I335" s="189" t="str">
        <f t="shared" si="213"/>
        <v/>
      </c>
      <c r="J335" s="183" t="str">
        <f t="shared" si="216"/>
        <v/>
      </c>
      <c r="K335" s="142" t="str">
        <f>IF(D335=100%,'Données d''entrée'!$E$555,"")</f>
        <v/>
      </c>
      <c r="L335" s="142" t="str">
        <f>IF(E335=100%,'Données d''entrée'!$F$555,"")</f>
        <v/>
      </c>
      <c r="M335" s="142" t="str">
        <f t="shared" si="217"/>
        <v/>
      </c>
      <c r="N335" s="117" t="str">
        <f t="shared" si="218"/>
        <v/>
      </c>
      <c r="O335" s="142" t="str">
        <f>IF(D335=100%,'Données d''entrée'!$E$556,"")</f>
        <v/>
      </c>
      <c r="P335" s="142" t="str">
        <f>IF(E335=100%,'Données d''entrée'!$F$556,"")</f>
        <v/>
      </c>
      <c r="Q335" s="142" t="str">
        <f t="shared" si="219"/>
        <v/>
      </c>
      <c r="R335" s="117" t="str">
        <f t="shared" si="220"/>
        <v/>
      </c>
      <c r="S335" s="142" t="str">
        <f>IF(D335=100%,'Données d''entrée'!$E$557,"")</f>
        <v/>
      </c>
      <c r="T335" s="142" t="str">
        <f>IF(E335=100%,'Données d''entrée'!$F$557,"")</f>
        <v/>
      </c>
      <c r="U335" s="142" t="str">
        <f t="shared" si="221"/>
        <v/>
      </c>
      <c r="V335" s="142" t="str">
        <f t="shared" si="222"/>
        <v/>
      </c>
      <c r="W335" s="161">
        <f t="shared" si="223"/>
        <v>0</v>
      </c>
      <c r="X335" s="117">
        <f t="shared" si="224"/>
        <v>0</v>
      </c>
      <c r="Y335" s="117">
        <f t="shared" si="225"/>
        <v>0</v>
      </c>
    </row>
    <row r="336" spans="1:25" hidden="1" x14ac:dyDescent="0.35">
      <c r="A336" s="130">
        <v>13</v>
      </c>
      <c r="B336" s="131" t="str">
        <f>IF(Exploitation!B27="","",Exploitation!B27)</f>
        <v/>
      </c>
      <c r="C336" s="187" t="str">
        <f t="shared" ref="C336:E336" si="246">C87</f>
        <v/>
      </c>
      <c r="D336" s="188" t="str">
        <f t="shared" si="246"/>
        <v/>
      </c>
      <c r="E336" s="188" t="str">
        <f t="shared" si="246"/>
        <v/>
      </c>
      <c r="F336" s="188" t="str">
        <f t="shared" ref="F336" si="247">G87</f>
        <v/>
      </c>
      <c r="G336" s="188" t="str">
        <f t="shared" si="215"/>
        <v/>
      </c>
      <c r="H336" s="189" t="str">
        <f t="shared" si="212"/>
        <v/>
      </c>
      <c r="I336" s="189" t="str">
        <f t="shared" si="213"/>
        <v/>
      </c>
      <c r="J336" s="183" t="str">
        <f t="shared" si="216"/>
        <v/>
      </c>
      <c r="K336" s="142" t="str">
        <f>IF(D336=100%,'Données d''entrée'!$E$555,"")</f>
        <v/>
      </c>
      <c r="L336" s="142" t="str">
        <f>IF(E336=100%,'Données d''entrée'!$F$555,"")</f>
        <v/>
      </c>
      <c r="M336" s="142" t="str">
        <f t="shared" si="217"/>
        <v/>
      </c>
      <c r="N336" s="117" t="str">
        <f t="shared" si="218"/>
        <v/>
      </c>
      <c r="O336" s="142" t="str">
        <f>IF(D336=100%,'Données d''entrée'!$E$556,"")</f>
        <v/>
      </c>
      <c r="P336" s="142" t="str">
        <f>IF(E336=100%,'Données d''entrée'!$F$556,"")</f>
        <v/>
      </c>
      <c r="Q336" s="142" t="str">
        <f t="shared" si="219"/>
        <v/>
      </c>
      <c r="R336" s="117" t="str">
        <f t="shared" si="220"/>
        <v/>
      </c>
      <c r="S336" s="142" t="str">
        <f>IF(D336=100%,'Données d''entrée'!$E$557,"")</f>
        <v/>
      </c>
      <c r="T336" s="142" t="str">
        <f>IF(E336=100%,'Données d''entrée'!$F$557,"")</f>
        <v/>
      </c>
      <c r="U336" s="142" t="str">
        <f t="shared" si="221"/>
        <v/>
      </c>
      <c r="V336" s="142" t="str">
        <f t="shared" si="222"/>
        <v/>
      </c>
      <c r="W336" s="161">
        <f t="shared" si="223"/>
        <v>0</v>
      </c>
      <c r="X336" s="117">
        <f t="shared" si="224"/>
        <v>0</v>
      </c>
      <c r="Y336" s="117">
        <f t="shared" si="225"/>
        <v>0</v>
      </c>
    </row>
    <row r="337" spans="1:25" hidden="1" x14ac:dyDescent="0.35">
      <c r="A337" s="130">
        <v>14</v>
      </c>
      <c r="B337" s="131" t="str">
        <f>IF(Exploitation!B28="","",Exploitation!B28)</f>
        <v/>
      </c>
      <c r="C337" s="187" t="str">
        <f t="shared" ref="C337:E337" si="248">C88</f>
        <v/>
      </c>
      <c r="D337" s="188" t="str">
        <f t="shared" si="248"/>
        <v/>
      </c>
      <c r="E337" s="188" t="str">
        <f t="shared" si="248"/>
        <v/>
      </c>
      <c r="F337" s="188" t="str">
        <f t="shared" ref="F337" si="249">G88</f>
        <v/>
      </c>
      <c r="G337" s="188" t="str">
        <f t="shared" si="215"/>
        <v/>
      </c>
      <c r="H337" s="189" t="str">
        <f t="shared" si="212"/>
        <v/>
      </c>
      <c r="I337" s="189" t="str">
        <f t="shared" si="213"/>
        <v/>
      </c>
      <c r="J337" s="183" t="str">
        <f t="shared" si="216"/>
        <v/>
      </c>
      <c r="K337" s="142" t="str">
        <f>IF(D337=100%,'Données d''entrée'!$E$555,"")</f>
        <v/>
      </c>
      <c r="L337" s="142" t="str">
        <f>IF(E337=100%,'Données d''entrée'!$F$555,"")</f>
        <v/>
      </c>
      <c r="M337" s="142" t="str">
        <f t="shared" si="217"/>
        <v/>
      </c>
      <c r="N337" s="117" t="str">
        <f t="shared" si="218"/>
        <v/>
      </c>
      <c r="O337" s="142" t="str">
        <f>IF(D337=100%,'Données d''entrée'!$E$556,"")</f>
        <v/>
      </c>
      <c r="P337" s="142" t="str">
        <f>IF(E337=100%,'Données d''entrée'!$F$556,"")</f>
        <v/>
      </c>
      <c r="Q337" s="142" t="str">
        <f t="shared" si="219"/>
        <v/>
      </c>
      <c r="R337" s="117" t="str">
        <f t="shared" si="220"/>
        <v/>
      </c>
      <c r="S337" s="142" t="str">
        <f>IF(D337=100%,'Données d''entrée'!$E$557,"")</f>
        <v/>
      </c>
      <c r="T337" s="142" t="str">
        <f>IF(E337=100%,'Données d''entrée'!$F$557,"")</f>
        <v/>
      </c>
      <c r="U337" s="142" t="str">
        <f t="shared" si="221"/>
        <v/>
      </c>
      <c r="V337" s="142" t="str">
        <f t="shared" si="222"/>
        <v/>
      </c>
      <c r="W337" s="161">
        <f t="shared" si="223"/>
        <v>0</v>
      </c>
      <c r="X337" s="117">
        <f t="shared" si="224"/>
        <v>0</v>
      </c>
      <c r="Y337" s="117">
        <f t="shared" si="225"/>
        <v>0</v>
      </c>
    </row>
    <row r="338" spans="1:25" hidden="1" x14ac:dyDescent="0.35">
      <c r="A338" s="130">
        <v>15</v>
      </c>
      <c r="B338" s="131" t="str">
        <f>IF(Exploitation!B29="","",Exploitation!B29)</f>
        <v/>
      </c>
      <c r="C338" s="187" t="str">
        <f t="shared" ref="C338:E338" si="250">C89</f>
        <v/>
      </c>
      <c r="D338" s="188" t="str">
        <f t="shared" si="250"/>
        <v/>
      </c>
      <c r="E338" s="188" t="str">
        <f t="shared" si="250"/>
        <v/>
      </c>
      <c r="F338" s="188" t="str">
        <f t="shared" ref="F338" si="251">G89</f>
        <v/>
      </c>
      <c r="G338" s="188" t="str">
        <f t="shared" si="215"/>
        <v/>
      </c>
      <c r="H338" s="189" t="str">
        <f t="shared" si="212"/>
        <v/>
      </c>
      <c r="I338" s="189" t="str">
        <f t="shared" si="213"/>
        <v/>
      </c>
      <c r="J338" s="183" t="str">
        <f t="shared" si="216"/>
        <v/>
      </c>
      <c r="K338" s="142" t="str">
        <f>IF(D338=100%,'Données d''entrée'!$E$555,"")</f>
        <v/>
      </c>
      <c r="L338" s="142" t="str">
        <f>IF(E338=100%,'Données d''entrée'!$F$555,"")</f>
        <v/>
      </c>
      <c r="M338" s="142" t="str">
        <f t="shared" si="217"/>
        <v/>
      </c>
      <c r="N338" s="117" t="str">
        <f t="shared" si="218"/>
        <v/>
      </c>
      <c r="O338" s="142" t="str">
        <f>IF(D338=100%,'Données d''entrée'!$E$556,"")</f>
        <v/>
      </c>
      <c r="P338" s="142" t="str">
        <f>IF(E338=100%,'Données d''entrée'!$F$556,"")</f>
        <v/>
      </c>
      <c r="Q338" s="142" t="str">
        <f t="shared" si="219"/>
        <v/>
      </c>
      <c r="R338" s="117" t="str">
        <f t="shared" si="220"/>
        <v/>
      </c>
      <c r="S338" s="142" t="str">
        <f>IF(D338=100%,'Données d''entrée'!$E$557,"")</f>
        <v/>
      </c>
      <c r="T338" s="142" t="str">
        <f>IF(E338=100%,'Données d''entrée'!$F$557,"")</f>
        <v/>
      </c>
      <c r="U338" s="142" t="str">
        <f t="shared" si="221"/>
        <v/>
      </c>
      <c r="V338" s="142" t="str">
        <f t="shared" si="222"/>
        <v/>
      </c>
      <c r="W338" s="161">
        <f t="shared" si="223"/>
        <v>0</v>
      </c>
      <c r="X338" s="117">
        <f t="shared" si="224"/>
        <v>0</v>
      </c>
      <c r="Y338" s="117">
        <f t="shared" si="225"/>
        <v>0</v>
      </c>
    </row>
    <row r="339" spans="1:25" hidden="1" x14ac:dyDescent="0.35">
      <c r="A339" s="130">
        <v>16</v>
      </c>
      <c r="B339" s="131" t="str">
        <f>IF(Exploitation!B30="","",Exploitation!B30)</f>
        <v/>
      </c>
      <c r="C339" s="187" t="str">
        <f t="shared" ref="C339:E339" si="252">C90</f>
        <v/>
      </c>
      <c r="D339" s="188" t="str">
        <f t="shared" si="252"/>
        <v/>
      </c>
      <c r="E339" s="188" t="str">
        <f t="shared" si="252"/>
        <v/>
      </c>
      <c r="F339" s="188" t="str">
        <f t="shared" ref="F339" si="253">G90</f>
        <v/>
      </c>
      <c r="G339" s="188" t="str">
        <f t="shared" si="215"/>
        <v/>
      </c>
      <c r="H339" s="189" t="str">
        <f t="shared" si="212"/>
        <v/>
      </c>
      <c r="I339" s="189" t="str">
        <f t="shared" si="213"/>
        <v/>
      </c>
      <c r="J339" s="183" t="str">
        <f t="shared" si="216"/>
        <v/>
      </c>
      <c r="K339" s="142" t="str">
        <f>IF(D339=100%,'Données d''entrée'!$E$555,"")</f>
        <v/>
      </c>
      <c r="L339" s="142" t="str">
        <f>IF(E339=100%,'Données d''entrée'!$F$555,"")</f>
        <v/>
      </c>
      <c r="M339" s="142" t="str">
        <f t="shared" si="217"/>
        <v/>
      </c>
      <c r="N339" s="117" t="str">
        <f t="shared" si="218"/>
        <v/>
      </c>
      <c r="O339" s="142" t="str">
        <f>IF(D339=100%,'Données d''entrée'!$E$556,"")</f>
        <v/>
      </c>
      <c r="P339" s="142" t="str">
        <f>IF(E339=100%,'Données d''entrée'!$F$556,"")</f>
        <v/>
      </c>
      <c r="Q339" s="142" t="str">
        <f t="shared" si="219"/>
        <v/>
      </c>
      <c r="R339" s="117" t="str">
        <f t="shared" si="220"/>
        <v/>
      </c>
      <c r="S339" s="142" t="str">
        <f>IF(D339=100%,'Données d''entrée'!$E$557,"")</f>
        <v/>
      </c>
      <c r="T339" s="142" t="str">
        <f>IF(E339=100%,'Données d''entrée'!$F$557,"")</f>
        <v/>
      </c>
      <c r="U339" s="142" t="str">
        <f t="shared" si="221"/>
        <v/>
      </c>
      <c r="V339" s="142" t="str">
        <f t="shared" si="222"/>
        <v/>
      </c>
      <c r="W339" s="161">
        <f t="shared" si="223"/>
        <v>0</v>
      </c>
      <c r="X339" s="117">
        <f t="shared" si="224"/>
        <v>0</v>
      </c>
      <c r="Y339" s="117">
        <f t="shared" si="225"/>
        <v>0</v>
      </c>
    </row>
    <row r="340" spans="1:25" hidden="1" x14ac:dyDescent="0.35">
      <c r="A340" s="130">
        <v>17</v>
      </c>
      <c r="B340" s="131" t="str">
        <f>IF(Exploitation!B31="","",Exploitation!B31)</f>
        <v/>
      </c>
      <c r="C340" s="187" t="str">
        <f t="shared" ref="C340:E340" si="254">C91</f>
        <v/>
      </c>
      <c r="D340" s="188" t="str">
        <f t="shared" si="254"/>
        <v/>
      </c>
      <c r="E340" s="188" t="str">
        <f t="shared" si="254"/>
        <v/>
      </c>
      <c r="F340" s="188" t="str">
        <f t="shared" ref="F340" si="255">G91</f>
        <v/>
      </c>
      <c r="G340" s="188" t="str">
        <f t="shared" si="215"/>
        <v/>
      </c>
      <c r="H340" s="189" t="str">
        <f t="shared" si="212"/>
        <v/>
      </c>
      <c r="I340" s="189" t="str">
        <f t="shared" si="213"/>
        <v/>
      </c>
      <c r="J340" s="183" t="str">
        <f t="shared" si="216"/>
        <v/>
      </c>
      <c r="K340" s="142" t="str">
        <f>IF(D340=100%,'Données d''entrée'!$E$555,"")</f>
        <v/>
      </c>
      <c r="L340" s="142" t="str">
        <f>IF(E340=100%,'Données d''entrée'!$F$555,"")</f>
        <v/>
      </c>
      <c r="M340" s="142" t="str">
        <f t="shared" si="217"/>
        <v/>
      </c>
      <c r="N340" s="117" t="str">
        <f t="shared" si="218"/>
        <v/>
      </c>
      <c r="O340" s="142" t="str">
        <f>IF(D340=100%,'Données d''entrée'!$E$556,"")</f>
        <v/>
      </c>
      <c r="P340" s="142" t="str">
        <f>IF(E340=100%,'Données d''entrée'!$F$556,"")</f>
        <v/>
      </c>
      <c r="Q340" s="142" t="str">
        <f t="shared" si="219"/>
        <v/>
      </c>
      <c r="R340" s="117" t="str">
        <f t="shared" si="220"/>
        <v/>
      </c>
      <c r="S340" s="142" t="str">
        <f>IF(D340=100%,'Données d''entrée'!$E$557,"")</f>
        <v/>
      </c>
      <c r="T340" s="142" t="str">
        <f>IF(E340=100%,'Données d''entrée'!$F$557,"")</f>
        <v/>
      </c>
      <c r="U340" s="142" t="str">
        <f t="shared" si="221"/>
        <v/>
      </c>
      <c r="V340" s="142" t="str">
        <f t="shared" si="222"/>
        <v/>
      </c>
      <c r="W340" s="161">
        <f t="shared" si="223"/>
        <v>0</v>
      </c>
      <c r="X340" s="117">
        <f t="shared" si="224"/>
        <v>0</v>
      </c>
      <c r="Y340" s="117">
        <f t="shared" si="225"/>
        <v>0</v>
      </c>
    </row>
    <row r="341" spans="1:25" hidden="1" x14ac:dyDescent="0.35">
      <c r="A341" s="130">
        <v>18</v>
      </c>
      <c r="B341" s="131" t="str">
        <f>IF(Exploitation!B32="","",Exploitation!B32)</f>
        <v/>
      </c>
      <c r="C341" s="187" t="str">
        <f t="shared" ref="C341:E341" si="256">C92</f>
        <v/>
      </c>
      <c r="D341" s="188" t="str">
        <f t="shared" si="256"/>
        <v/>
      </c>
      <c r="E341" s="188" t="str">
        <f t="shared" si="256"/>
        <v/>
      </c>
      <c r="F341" s="188" t="str">
        <f t="shared" ref="F341:G343" si="257">G92</f>
        <v/>
      </c>
      <c r="G341" s="188" t="str">
        <f t="shared" si="257"/>
        <v/>
      </c>
      <c r="H341" s="189" t="str">
        <f t="shared" si="212"/>
        <v/>
      </c>
      <c r="I341" s="189" t="str">
        <f t="shared" si="213"/>
        <v/>
      </c>
      <c r="J341" s="183" t="str">
        <f t="shared" si="216"/>
        <v/>
      </c>
      <c r="K341" s="142" t="str">
        <f>IF(D341=100%,'Données d''entrée'!$E$555,"")</f>
        <v/>
      </c>
      <c r="L341" s="142" t="str">
        <f>IF(E341=100%,'Données d''entrée'!$F$555,"")</f>
        <v/>
      </c>
      <c r="M341" s="142" t="str">
        <f t="shared" si="217"/>
        <v/>
      </c>
      <c r="N341" s="117" t="str">
        <f t="shared" si="218"/>
        <v/>
      </c>
      <c r="O341" s="142" t="str">
        <f>IF(D341=100%,'Données d''entrée'!$E$556,"")</f>
        <v/>
      </c>
      <c r="P341" s="142" t="str">
        <f>IF(E341=100%,'Données d''entrée'!$F$556,"")</f>
        <v/>
      </c>
      <c r="Q341" s="142" t="str">
        <f t="shared" si="219"/>
        <v/>
      </c>
      <c r="R341" s="117" t="str">
        <f t="shared" si="220"/>
        <v/>
      </c>
      <c r="S341" s="142" t="str">
        <f>IF(D341=100%,'Données d''entrée'!$E$557,"")</f>
        <v/>
      </c>
      <c r="T341" s="142" t="str">
        <f>IF(E341=100%,'Données d''entrée'!$F$557,"")</f>
        <v/>
      </c>
      <c r="U341" s="142" t="str">
        <f t="shared" si="221"/>
        <v/>
      </c>
      <c r="V341" s="142" t="str">
        <f t="shared" si="222"/>
        <v/>
      </c>
      <c r="W341" s="161">
        <f t="shared" si="223"/>
        <v>0</v>
      </c>
      <c r="X341" s="117">
        <f t="shared" si="224"/>
        <v>0</v>
      </c>
      <c r="Y341" s="117">
        <f t="shared" si="225"/>
        <v>0</v>
      </c>
    </row>
    <row r="342" spans="1:25" hidden="1" x14ac:dyDescent="0.35">
      <c r="A342" s="130">
        <v>19</v>
      </c>
      <c r="B342" s="131" t="str">
        <f>IF(Exploitation!B33="","",Exploitation!B33)</f>
        <v/>
      </c>
      <c r="C342" s="187" t="str">
        <f t="shared" ref="C342:E342" si="258">C93</f>
        <v/>
      </c>
      <c r="D342" s="188" t="str">
        <f t="shared" si="258"/>
        <v/>
      </c>
      <c r="E342" s="188" t="str">
        <f t="shared" si="258"/>
        <v/>
      </c>
      <c r="F342" s="188" t="str">
        <f t="shared" ref="F342" si="259">G93</f>
        <v/>
      </c>
      <c r="G342" s="188" t="str">
        <f t="shared" si="257"/>
        <v/>
      </c>
      <c r="H342" s="189" t="str">
        <f t="shared" si="212"/>
        <v/>
      </c>
      <c r="I342" s="189" t="str">
        <f t="shared" si="213"/>
        <v/>
      </c>
      <c r="J342" s="183" t="str">
        <f t="shared" si="216"/>
        <v/>
      </c>
      <c r="K342" s="142" t="str">
        <f>IF(D342=100%,'Données d''entrée'!$E$555,"")</f>
        <v/>
      </c>
      <c r="L342" s="142" t="str">
        <f>IF(E342=100%,'Données d''entrée'!$F$555,"")</f>
        <v/>
      </c>
      <c r="M342" s="142" t="str">
        <f t="shared" si="217"/>
        <v/>
      </c>
      <c r="N342" s="117" t="str">
        <f t="shared" si="218"/>
        <v/>
      </c>
      <c r="O342" s="142" t="str">
        <f>IF(D342=100%,'Données d''entrée'!$E$556,"")</f>
        <v/>
      </c>
      <c r="P342" s="142" t="str">
        <f>IF(E342=100%,'Données d''entrée'!$F$556,"")</f>
        <v/>
      </c>
      <c r="Q342" s="142" t="str">
        <f t="shared" si="219"/>
        <v/>
      </c>
      <c r="R342" s="117" t="str">
        <f t="shared" si="220"/>
        <v/>
      </c>
      <c r="S342" s="142" t="str">
        <f>IF(D342=100%,'Données d''entrée'!$E$557,"")</f>
        <v/>
      </c>
      <c r="T342" s="142" t="str">
        <f>IF(E342=100%,'Données d''entrée'!$F$557,"")</f>
        <v/>
      </c>
      <c r="U342" s="142" t="str">
        <f t="shared" si="221"/>
        <v/>
      </c>
      <c r="V342" s="142" t="str">
        <f t="shared" si="222"/>
        <v/>
      </c>
      <c r="W342" s="161">
        <f t="shared" si="223"/>
        <v>0</v>
      </c>
      <c r="X342" s="117">
        <f t="shared" si="224"/>
        <v>0</v>
      </c>
      <c r="Y342" s="117">
        <f t="shared" si="225"/>
        <v>0</v>
      </c>
    </row>
    <row r="343" spans="1:25" hidden="1" x14ac:dyDescent="0.35">
      <c r="A343" s="130">
        <v>20</v>
      </c>
      <c r="B343" s="131" t="str">
        <f>IF(Exploitation!B34="","",Exploitation!B34)</f>
        <v/>
      </c>
      <c r="C343" s="187" t="str">
        <f t="shared" ref="C343:E343" si="260">C94</f>
        <v/>
      </c>
      <c r="D343" s="188" t="str">
        <f t="shared" si="260"/>
        <v/>
      </c>
      <c r="E343" s="188" t="str">
        <f t="shared" si="260"/>
        <v/>
      </c>
      <c r="F343" s="188" t="str">
        <f t="shared" ref="F343" si="261">G94</f>
        <v/>
      </c>
      <c r="G343" s="188" t="str">
        <f t="shared" si="257"/>
        <v/>
      </c>
      <c r="H343" s="189" t="str">
        <f t="shared" si="212"/>
        <v/>
      </c>
      <c r="I343" s="189" t="str">
        <f t="shared" si="213"/>
        <v/>
      </c>
      <c r="J343" s="183" t="str">
        <f t="shared" si="216"/>
        <v/>
      </c>
      <c r="K343" s="142" t="str">
        <f>IF(D343=100%,'Données d''entrée'!$E$555,"")</f>
        <v/>
      </c>
      <c r="L343" s="142" t="str">
        <f>IF(E343=100%,'Données d''entrée'!$F$555,"")</f>
        <v/>
      </c>
      <c r="M343" s="142" t="str">
        <f t="shared" si="217"/>
        <v/>
      </c>
      <c r="N343" s="117" t="str">
        <f t="shared" si="218"/>
        <v/>
      </c>
      <c r="O343" s="142" t="str">
        <f>IF(D343=100%,'Données d''entrée'!$E$556,"")</f>
        <v/>
      </c>
      <c r="P343" s="142" t="str">
        <f>IF(E343=100%,'Données d''entrée'!$F$556,"")</f>
        <v/>
      </c>
      <c r="Q343" s="142" t="str">
        <f t="shared" si="219"/>
        <v/>
      </c>
      <c r="R343" s="117" t="str">
        <f t="shared" si="220"/>
        <v/>
      </c>
      <c r="S343" s="142" t="str">
        <f>IF(D343=100%,'Données d''entrée'!$E$557,"")</f>
        <v/>
      </c>
      <c r="T343" s="142" t="str">
        <f>IF(E343=100%,'Données d''entrée'!$F$557,"")</f>
        <v/>
      </c>
      <c r="U343" s="142" t="str">
        <f t="shared" si="221"/>
        <v/>
      </c>
      <c r="V343" s="142" t="str">
        <f t="shared" si="222"/>
        <v/>
      </c>
      <c r="W343" s="161">
        <f t="shared" si="223"/>
        <v>0</v>
      </c>
      <c r="X343" s="117">
        <f t="shared" si="224"/>
        <v>0</v>
      </c>
      <c r="Y343" s="117">
        <f t="shared" si="225"/>
        <v>0</v>
      </c>
    </row>
    <row r="344" spans="1:25" hidden="1" x14ac:dyDescent="0.35"/>
    <row r="345" spans="1:25" hidden="1" x14ac:dyDescent="0.35"/>
    <row r="346" spans="1:25" ht="26" hidden="1" x14ac:dyDescent="0.6">
      <c r="B346" s="178" t="s">
        <v>254</v>
      </c>
      <c r="C346" s="179">
        <f>SUM($Y$324:$Y$343)</f>
        <v>0</v>
      </c>
      <c r="D346" s="149" t="s">
        <v>255</v>
      </c>
    </row>
    <row r="347" spans="1:25" ht="22.5" hidden="1" customHeight="1" x14ac:dyDescent="0.35"/>
    <row r="348" spans="1:25" ht="22.5" hidden="1" customHeight="1" x14ac:dyDescent="0.35"/>
    <row r="349" spans="1:25" s="110" customFormat="1" ht="26" hidden="1" x14ac:dyDescent="0.6">
      <c r="A349" s="106" t="s">
        <v>274</v>
      </c>
    </row>
    <row r="350" spans="1:25" hidden="1" x14ac:dyDescent="0.35"/>
    <row r="351" spans="1:25" ht="15" hidden="1" customHeight="1" x14ac:dyDescent="0.35">
      <c r="K351" s="522" t="s">
        <v>524</v>
      </c>
      <c r="L351" s="523"/>
      <c r="M351" s="523"/>
      <c r="N351" s="524"/>
      <c r="O351" s="522" t="s">
        <v>525</v>
      </c>
      <c r="P351" s="523"/>
      <c r="Q351" s="523"/>
      <c r="R351" s="524"/>
      <c r="S351" s="522" t="s">
        <v>205</v>
      </c>
      <c r="T351" s="523"/>
      <c r="U351" s="523"/>
      <c r="V351" s="524"/>
      <c r="W351" s="522" t="s">
        <v>253</v>
      </c>
      <c r="X351" s="523"/>
      <c r="Y351" s="524"/>
    </row>
    <row r="352" spans="1:25" ht="29" hidden="1" x14ac:dyDescent="0.35">
      <c r="C352" s="112" t="s">
        <v>53</v>
      </c>
      <c r="D352" s="112" t="s">
        <v>230</v>
      </c>
      <c r="E352" s="112" t="s">
        <v>231</v>
      </c>
      <c r="F352" s="112" t="s">
        <v>186</v>
      </c>
      <c r="G352" s="112" t="s">
        <v>332</v>
      </c>
      <c r="H352" s="112" t="s">
        <v>343</v>
      </c>
      <c r="I352" s="112" t="s">
        <v>344</v>
      </c>
      <c r="J352" s="112" t="s">
        <v>345</v>
      </c>
      <c r="K352" s="112" t="s">
        <v>277</v>
      </c>
      <c r="L352" s="112" t="s">
        <v>278</v>
      </c>
      <c r="M352" s="112" t="s">
        <v>279</v>
      </c>
      <c r="N352" s="112" t="s">
        <v>280</v>
      </c>
      <c r="O352" s="112" t="s">
        <v>277</v>
      </c>
      <c r="P352" s="112" t="s">
        <v>278</v>
      </c>
      <c r="Q352" s="112" t="s">
        <v>279</v>
      </c>
      <c r="R352" s="112" t="s">
        <v>280</v>
      </c>
      <c r="S352" s="112" t="s">
        <v>277</v>
      </c>
      <c r="T352" s="112" t="s">
        <v>278</v>
      </c>
      <c r="U352" s="112" t="s">
        <v>279</v>
      </c>
      <c r="V352" s="112" t="s">
        <v>280</v>
      </c>
      <c r="W352" s="112" t="s">
        <v>279</v>
      </c>
      <c r="X352" s="112" t="s">
        <v>280</v>
      </c>
      <c r="Y352" s="112" t="s">
        <v>281</v>
      </c>
    </row>
    <row r="353" spans="1:25" hidden="1" x14ac:dyDescent="0.35">
      <c r="A353" s="130">
        <v>1</v>
      </c>
      <c r="B353" s="131" t="str">
        <f>IF(Exploitation!B15="","",Exploitation!B15)</f>
        <v/>
      </c>
      <c r="C353" s="187" t="str">
        <f>C75</f>
        <v/>
      </c>
      <c r="D353" s="188" t="str">
        <f>D75</f>
        <v/>
      </c>
      <c r="E353" s="188" t="str">
        <f>E75</f>
        <v/>
      </c>
      <c r="F353" s="188" t="str">
        <f>G75</f>
        <v/>
      </c>
      <c r="G353" s="188" t="str">
        <f>H75</f>
        <v/>
      </c>
      <c r="H353" s="189" t="str">
        <f t="shared" ref="H353:H372" si="262">IF(ISERROR(VLOOKUP(F353,FA_particules_ambiance,2,FALSE)),"",VLOOKUP(F353,FA_particules_ambiance,2,FALSE))</f>
        <v/>
      </c>
      <c r="I353" s="189" t="str">
        <f>IF(ISERROR(VLOOKUP(G353,FA_particules_air,2,FALSE)),"",VLOOKUP(G353,FA_particules_air,2,FALSE))</f>
        <v/>
      </c>
      <c r="J353" s="183" t="str">
        <f>IF(H353&lt;I353,H353,I353)</f>
        <v/>
      </c>
      <c r="K353" s="183" t="str">
        <f>IF(D353=100%,'Données d''entrée'!$C$555,"")</f>
        <v/>
      </c>
      <c r="L353" s="183" t="str">
        <f>IF(E353=100%,'Données d''entrée'!$D$555,"")</f>
        <v/>
      </c>
      <c r="M353" s="183" t="str">
        <f>IF(ISERROR(C$22*(1-C$23%/2)*C48*K353*$J353),"",C$22*(1-C$23%/2)*C48*K353*$J353)</f>
        <v/>
      </c>
      <c r="N353" s="185" t="str">
        <f>IF(ISERROR(C$22*(1-C$23%/2)*C48*L353*$J353),"",C$22*(1-C$23%/2)*C48*L353*$J353)</f>
        <v/>
      </c>
      <c r="O353" s="142" t="str">
        <f>IF(D353=100%,'Données d''entrée'!$C$556,"")</f>
        <v/>
      </c>
      <c r="P353" s="142" t="str">
        <f>IF(E353=100%,'Données d''entrée'!$D$556,"")</f>
        <v/>
      </c>
      <c r="Q353" s="142" t="str">
        <f>IF(ISERROR((D$22*(1-D$23%/2)*D48+E$22*(1-E$23%/2)*E48)*O353*$J353),"",(D$22*(1-D$23%/2)*D48+E$22*(1-E$23%/2)*E48)*O353*$J353)</f>
        <v/>
      </c>
      <c r="R353" s="185" t="str">
        <f>IF(ISERROR((D$22*(1-D$23%/2)*D48+E$22*(1-E$23%/2)*E48)*P353*$J353),"",(D$22*(1-D$23%/2)*D48+E$22*(1-E$23%/2)*E48)*P353*$J353)</f>
        <v/>
      </c>
      <c r="S353" s="142" t="str">
        <f>IF(D353=100%,'Données d''entrée'!$C$557,"")</f>
        <v/>
      </c>
      <c r="T353" s="142" t="str">
        <f>IF(E353=100%,'Données d''entrée'!$D$557,"")</f>
        <v/>
      </c>
      <c r="U353" s="142" t="str">
        <f>IF(ISERROR((F$22*(1-F$23%/2)*F48+G$22*(1-G$23%/2)*G48+H$22*(1-H$23%/2)*H48+I$22*(1-I$23%/2)*I48)*S353*$J353),"",(F$22*(1-F$23%/2)*F48+G$22*(1-G$23%/2)*G48+H$22*(1-H$23%/2)*H48+I$22*(1-I$23%/2)*I48)*S353*$J353)</f>
        <v/>
      </c>
      <c r="V353" s="142" t="str">
        <f>IF(ISERROR((F$22*(1-F$23%/2)*F48+G$22*(1-G$23%/2)*G48+H$22*(1-H$23%/2)*H48+I$22*(1-I$23%/2)*I48)*T353*$J353),"",(F$22*(1-F$23%/2)*F48+G$22*(1-G$23%/2)*G48+H$22*(1-H$23%/2)*H48+I$22*(1-I$23%/2)*I48)*T353*$J353)</f>
        <v/>
      </c>
      <c r="W353" s="117">
        <f>SUM(M353,Q353,U353)</f>
        <v>0</v>
      </c>
      <c r="X353" s="117">
        <f>SUM(N353,R353,V353)</f>
        <v>0</v>
      </c>
      <c r="Y353" s="117">
        <f>SUM(W353,X353)</f>
        <v>0</v>
      </c>
    </row>
    <row r="354" spans="1:25" hidden="1" x14ac:dyDescent="0.35">
      <c r="A354" s="130">
        <v>2</v>
      </c>
      <c r="B354" s="131" t="str">
        <f>IF(Exploitation!B16="","",Exploitation!B16)</f>
        <v/>
      </c>
      <c r="C354" s="187" t="str">
        <f t="shared" ref="C354:E354" si="263">C76</f>
        <v/>
      </c>
      <c r="D354" s="188" t="str">
        <f t="shared" si="263"/>
        <v/>
      </c>
      <c r="E354" s="188" t="str">
        <f t="shared" si="263"/>
        <v/>
      </c>
      <c r="F354" s="188" t="str">
        <f t="shared" ref="F354:G369" si="264">G76</f>
        <v/>
      </c>
      <c r="G354" s="188" t="str">
        <f t="shared" si="264"/>
        <v/>
      </c>
      <c r="H354" s="189" t="str">
        <f t="shared" si="262"/>
        <v/>
      </c>
      <c r="I354" s="189" t="str">
        <f t="shared" ref="I354:I372" si="265">IF(ISERROR(VLOOKUP(G354,FA_particules_air,2,FALSE)),"",VLOOKUP(G354,FA_particules_air,2,FALSE))</f>
        <v/>
      </c>
      <c r="J354" s="183" t="str">
        <f t="shared" ref="J354:J372" si="266">IF(H354&lt;I354,H354,I354)</f>
        <v/>
      </c>
      <c r="K354" s="183" t="str">
        <f>IF(D354=100%,'Données d''entrée'!$C$555,"")</f>
        <v/>
      </c>
      <c r="L354" s="183" t="str">
        <f>IF(E354=100%,'Données d''entrée'!$D$555,"")</f>
        <v/>
      </c>
      <c r="M354" s="183" t="str">
        <f t="shared" ref="M354:M372" si="267">IF(ISERROR(C$22*(1-C$23%/2)*C49*K354*$J354),"",C$22*(1-C$23%/2)*C49*K354*$J354)</f>
        <v/>
      </c>
      <c r="N354" s="185" t="str">
        <f t="shared" ref="N354:N372" si="268">IF(ISERROR(C$22*(1-C$23%/2)*C49*L354*$J354),"",C$22*(1-C$23%/2)*C49*L354*$J354)</f>
        <v/>
      </c>
      <c r="O354" s="142" t="str">
        <f>IF(D354=100%,'Données d''entrée'!$C$556,"")</f>
        <v/>
      </c>
      <c r="P354" s="142" t="str">
        <f>IF(E354=100%,'Données d''entrée'!$D$556,"")</f>
        <v/>
      </c>
      <c r="Q354" s="142" t="str">
        <f t="shared" ref="Q354:Q372" si="269">IF(ISERROR((D$22*(1-D$23%/2)*D49+E$22*(1-E$23%/2)*E49)*O354*$J354),"",(D$22*(1-D$23%/2)*D49+E$22*(1-E$23%/2)*E49)*O354*$J354)</f>
        <v/>
      </c>
      <c r="R354" s="185" t="str">
        <f t="shared" ref="R354:R372" si="270">IF(ISERROR((D$22*(1-D$23%/2)*D49+E$22*(1-E$23%/2)*E49)*P354*$J354),"",(D$22*(1-D$23%/2)*D49+E$22*(1-E$23%/2)*E49)*P354*$J354)</f>
        <v/>
      </c>
      <c r="S354" s="142" t="str">
        <f>IF(D354=100%,'Données d''entrée'!$C$557,"")</f>
        <v/>
      </c>
      <c r="T354" s="142" t="str">
        <f>IF(E354=100%,'Données d''entrée'!$D$557,"")</f>
        <v/>
      </c>
      <c r="U354" s="142" t="str">
        <f t="shared" ref="U354:U372" si="271">IF(ISERROR((F$22*(1-F$23%/2)*F49+G$22*(1-G$23%/2)*G49+H$22*(1-H$23%/2)*H49+I$22*(1-I$23%/2)*I49)*S354*$J354),"",(F$22*(1-F$23%/2)*F49+G$22*(1-G$23%/2)*G49+H$22*(1-H$23%/2)*H49+I$22*(1-I$23%/2)*I49)*S354*$J354)</f>
        <v/>
      </c>
      <c r="V354" s="142" t="str">
        <f t="shared" ref="V354:V372" si="272">IF(ISERROR((F$22*(1-F$23%/2)*F49+G$22*(1-G$23%/2)*G49+H$22*(1-H$23%/2)*H49+I$22*(1-I$23%/2)*I49)*T354*$J354),"",(F$22*(1-F$23%/2)*F49+G$22*(1-G$23%/2)*G49+H$22*(1-H$23%/2)*H49+I$22*(1-I$23%/2)*I49)*T354*$J354)</f>
        <v/>
      </c>
      <c r="W354" s="117">
        <f t="shared" ref="W354:W372" si="273">SUM(M354,Q354,U354)</f>
        <v>0</v>
      </c>
      <c r="X354" s="117">
        <f t="shared" ref="X354:X372" si="274">SUM(N354,R354,V354)</f>
        <v>0</v>
      </c>
      <c r="Y354" s="117">
        <f t="shared" ref="Y354:Y372" si="275">SUM(W354,X354)</f>
        <v>0</v>
      </c>
    </row>
    <row r="355" spans="1:25" hidden="1" x14ac:dyDescent="0.35">
      <c r="A355" s="130">
        <v>3</v>
      </c>
      <c r="B355" s="131" t="str">
        <f>IF(Exploitation!B17="","",Exploitation!B17)</f>
        <v/>
      </c>
      <c r="C355" s="187" t="str">
        <f t="shared" ref="C355:E355" si="276">C77</f>
        <v/>
      </c>
      <c r="D355" s="188" t="str">
        <f t="shared" si="276"/>
        <v/>
      </c>
      <c r="E355" s="188" t="str">
        <f t="shared" si="276"/>
        <v/>
      </c>
      <c r="F355" s="188" t="str">
        <f t="shared" ref="F355" si="277">G77</f>
        <v/>
      </c>
      <c r="G355" s="188" t="str">
        <f t="shared" si="264"/>
        <v/>
      </c>
      <c r="H355" s="189" t="str">
        <f t="shared" si="262"/>
        <v/>
      </c>
      <c r="I355" s="189" t="str">
        <f t="shared" si="265"/>
        <v/>
      </c>
      <c r="J355" s="183" t="str">
        <f t="shared" si="266"/>
        <v/>
      </c>
      <c r="K355" s="183" t="str">
        <f>IF(D355=100%,'Données d''entrée'!$C$555,"")</f>
        <v/>
      </c>
      <c r="L355" s="183" t="str">
        <f>IF(E355=100%,'Données d''entrée'!$D$555,"")</f>
        <v/>
      </c>
      <c r="M355" s="183" t="str">
        <f t="shared" si="267"/>
        <v/>
      </c>
      <c r="N355" s="185" t="str">
        <f t="shared" si="268"/>
        <v/>
      </c>
      <c r="O355" s="142" t="str">
        <f>IF(D355=100%,'Données d''entrée'!$C$556,"")</f>
        <v/>
      </c>
      <c r="P355" s="142" t="str">
        <f>IF(E355=100%,'Données d''entrée'!$D$556,"")</f>
        <v/>
      </c>
      <c r="Q355" s="142" t="str">
        <f t="shared" si="269"/>
        <v/>
      </c>
      <c r="R355" s="185" t="str">
        <f t="shared" si="270"/>
        <v/>
      </c>
      <c r="S355" s="142" t="str">
        <f>IF(D355=100%,'Données d''entrée'!$C$557,"")</f>
        <v/>
      </c>
      <c r="T355" s="142" t="str">
        <f>IF(E355=100%,'Données d''entrée'!$D$557,"")</f>
        <v/>
      </c>
      <c r="U355" s="142" t="str">
        <f t="shared" si="271"/>
        <v/>
      </c>
      <c r="V355" s="142" t="str">
        <f t="shared" si="272"/>
        <v/>
      </c>
      <c r="W355" s="117">
        <f t="shared" si="273"/>
        <v>0</v>
      </c>
      <c r="X355" s="117">
        <f t="shared" si="274"/>
        <v>0</v>
      </c>
      <c r="Y355" s="117">
        <f t="shared" si="275"/>
        <v>0</v>
      </c>
    </row>
    <row r="356" spans="1:25" hidden="1" x14ac:dyDescent="0.35">
      <c r="A356" s="130">
        <v>4</v>
      </c>
      <c r="B356" s="131" t="str">
        <f>IF(Exploitation!B18="","",Exploitation!B18)</f>
        <v/>
      </c>
      <c r="C356" s="187" t="str">
        <f t="shared" ref="C356:E356" si="278">C78</f>
        <v/>
      </c>
      <c r="D356" s="188" t="str">
        <f t="shared" si="278"/>
        <v/>
      </c>
      <c r="E356" s="188" t="str">
        <f t="shared" si="278"/>
        <v/>
      </c>
      <c r="F356" s="188" t="str">
        <f t="shared" ref="F356" si="279">G78</f>
        <v/>
      </c>
      <c r="G356" s="188" t="str">
        <f t="shared" si="264"/>
        <v/>
      </c>
      <c r="H356" s="189" t="str">
        <f t="shared" si="262"/>
        <v/>
      </c>
      <c r="I356" s="189" t="str">
        <f t="shared" si="265"/>
        <v/>
      </c>
      <c r="J356" s="183" t="str">
        <f t="shared" si="266"/>
        <v/>
      </c>
      <c r="K356" s="183" t="str">
        <f>IF(D356=100%,'Données d''entrée'!$C$555,"")</f>
        <v/>
      </c>
      <c r="L356" s="183" t="str">
        <f>IF(E356=100%,'Données d''entrée'!$D$555,"")</f>
        <v/>
      </c>
      <c r="M356" s="183" t="str">
        <f t="shared" si="267"/>
        <v/>
      </c>
      <c r="N356" s="185" t="str">
        <f t="shared" si="268"/>
        <v/>
      </c>
      <c r="O356" s="142" t="str">
        <f>IF(D356=100%,'Données d''entrée'!$C$556,"")</f>
        <v/>
      </c>
      <c r="P356" s="142" t="str">
        <f>IF(E356=100%,'Données d''entrée'!$D$556,"")</f>
        <v/>
      </c>
      <c r="Q356" s="142" t="str">
        <f t="shared" si="269"/>
        <v/>
      </c>
      <c r="R356" s="185" t="str">
        <f t="shared" si="270"/>
        <v/>
      </c>
      <c r="S356" s="142" t="str">
        <f>IF(D356=100%,'Données d''entrée'!$C$557,"")</f>
        <v/>
      </c>
      <c r="T356" s="142" t="str">
        <f>IF(E356=100%,'Données d''entrée'!$D$557,"")</f>
        <v/>
      </c>
      <c r="U356" s="142" t="str">
        <f t="shared" si="271"/>
        <v/>
      </c>
      <c r="V356" s="142" t="str">
        <f t="shared" si="272"/>
        <v/>
      </c>
      <c r="W356" s="117">
        <f t="shared" si="273"/>
        <v>0</v>
      </c>
      <c r="X356" s="117">
        <f t="shared" si="274"/>
        <v>0</v>
      </c>
      <c r="Y356" s="117">
        <f t="shared" si="275"/>
        <v>0</v>
      </c>
    </row>
    <row r="357" spans="1:25" hidden="1" x14ac:dyDescent="0.35">
      <c r="A357" s="130">
        <v>5</v>
      </c>
      <c r="B357" s="131" t="str">
        <f>IF(Exploitation!B19="","",Exploitation!B19)</f>
        <v/>
      </c>
      <c r="C357" s="187" t="str">
        <f t="shared" ref="C357:E357" si="280">C79</f>
        <v/>
      </c>
      <c r="D357" s="188" t="str">
        <f t="shared" si="280"/>
        <v/>
      </c>
      <c r="E357" s="188" t="str">
        <f t="shared" si="280"/>
        <v/>
      </c>
      <c r="F357" s="188" t="str">
        <f t="shared" ref="F357" si="281">G79</f>
        <v/>
      </c>
      <c r="G357" s="188" t="str">
        <f t="shared" si="264"/>
        <v/>
      </c>
      <c r="H357" s="189" t="str">
        <f t="shared" si="262"/>
        <v/>
      </c>
      <c r="I357" s="189" t="str">
        <f t="shared" si="265"/>
        <v/>
      </c>
      <c r="J357" s="183" t="str">
        <f t="shared" si="266"/>
        <v/>
      </c>
      <c r="K357" s="183" t="str">
        <f>IF(D357=100%,'Données d''entrée'!$C$555,"")</f>
        <v/>
      </c>
      <c r="L357" s="183" t="str">
        <f>IF(E357=100%,'Données d''entrée'!$D$555,"")</f>
        <v/>
      </c>
      <c r="M357" s="183" t="str">
        <f t="shared" si="267"/>
        <v/>
      </c>
      <c r="N357" s="185" t="str">
        <f t="shared" si="268"/>
        <v/>
      </c>
      <c r="O357" s="142" t="str">
        <f>IF(D357=100%,'Données d''entrée'!$C$556,"")</f>
        <v/>
      </c>
      <c r="P357" s="142" t="str">
        <f>IF(E357=100%,'Données d''entrée'!$D$556,"")</f>
        <v/>
      </c>
      <c r="Q357" s="142" t="str">
        <f t="shared" si="269"/>
        <v/>
      </c>
      <c r="R357" s="185" t="str">
        <f t="shared" si="270"/>
        <v/>
      </c>
      <c r="S357" s="142" t="str">
        <f>IF(D357=100%,'Données d''entrée'!$C$557,"")</f>
        <v/>
      </c>
      <c r="T357" s="142" t="str">
        <f>IF(E357=100%,'Données d''entrée'!$D$557,"")</f>
        <v/>
      </c>
      <c r="U357" s="142" t="str">
        <f t="shared" si="271"/>
        <v/>
      </c>
      <c r="V357" s="142" t="str">
        <f t="shared" si="272"/>
        <v/>
      </c>
      <c r="W357" s="117">
        <f t="shared" si="273"/>
        <v>0</v>
      </c>
      <c r="X357" s="117">
        <f t="shared" si="274"/>
        <v>0</v>
      </c>
      <c r="Y357" s="117">
        <f t="shared" si="275"/>
        <v>0</v>
      </c>
    </row>
    <row r="358" spans="1:25" hidden="1" x14ac:dyDescent="0.35">
      <c r="A358" s="130">
        <v>6</v>
      </c>
      <c r="B358" s="131" t="str">
        <f>IF(Exploitation!B20="","",Exploitation!B20)</f>
        <v/>
      </c>
      <c r="C358" s="187" t="str">
        <f t="shared" ref="C358:E358" si="282">C80</f>
        <v/>
      </c>
      <c r="D358" s="188" t="str">
        <f t="shared" si="282"/>
        <v/>
      </c>
      <c r="E358" s="188" t="str">
        <f t="shared" si="282"/>
        <v/>
      </c>
      <c r="F358" s="188" t="str">
        <f t="shared" ref="F358" si="283">G80</f>
        <v/>
      </c>
      <c r="G358" s="188" t="str">
        <f t="shared" si="264"/>
        <v/>
      </c>
      <c r="H358" s="189" t="str">
        <f t="shared" si="262"/>
        <v/>
      </c>
      <c r="I358" s="189" t="str">
        <f t="shared" si="265"/>
        <v/>
      </c>
      <c r="J358" s="183" t="str">
        <f t="shared" si="266"/>
        <v/>
      </c>
      <c r="K358" s="183" t="str">
        <f>IF(D358=100%,'Données d''entrée'!$C$555,"")</f>
        <v/>
      </c>
      <c r="L358" s="183" t="str">
        <f>IF(E358=100%,'Données d''entrée'!$D$555,"")</f>
        <v/>
      </c>
      <c r="M358" s="183" t="str">
        <f t="shared" si="267"/>
        <v/>
      </c>
      <c r="N358" s="185" t="str">
        <f t="shared" si="268"/>
        <v/>
      </c>
      <c r="O358" s="142" t="str">
        <f>IF(D358=100%,'Données d''entrée'!$C$556,"")</f>
        <v/>
      </c>
      <c r="P358" s="142" t="str">
        <f>IF(E358=100%,'Données d''entrée'!$D$556,"")</f>
        <v/>
      </c>
      <c r="Q358" s="142" t="str">
        <f t="shared" si="269"/>
        <v/>
      </c>
      <c r="R358" s="185" t="str">
        <f t="shared" si="270"/>
        <v/>
      </c>
      <c r="S358" s="142" t="str">
        <f>IF(D358=100%,'Données d''entrée'!$C$557,"")</f>
        <v/>
      </c>
      <c r="T358" s="142" t="str">
        <f>IF(E358=100%,'Données d''entrée'!$D$557,"")</f>
        <v/>
      </c>
      <c r="U358" s="142" t="str">
        <f t="shared" si="271"/>
        <v/>
      </c>
      <c r="V358" s="142" t="str">
        <f t="shared" si="272"/>
        <v/>
      </c>
      <c r="W358" s="117">
        <f t="shared" si="273"/>
        <v>0</v>
      </c>
      <c r="X358" s="117">
        <f t="shared" si="274"/>
        <v>0</v>
      </c>
      <c r="Y358" s="117">
        <f t="shared" si="275"/>
        <v>0</v>
      </c>
    </row>
    <row r="359" spans="1:25" hidden="1" x14ac:dyDescent="0.35">
      <c r="A359" s="130">
        <v>7</v>
      </c>
      <c r="B359" s="131" t="str">
        <f>IF(Exploitation!B21="","",Exploitation!B21)</f>
        <v/>
      </c>
      <c r="C359" s="187" t="str">
        <f t="shared" ref="C359:E359" si="284">C81</f>
        <v/>
      </c>
      <c r="D359" s="188" t="str">
        <f t="shared" si="284"/>
        <v/>
      </c>
      <c r="E359" s="188" t="str">
        <f t="shared" si="284"/>
        <v/>
      </c>
      <c r="F359" s="188" t="str">
        <f t="shared" ref="F359" si="285">G81</f>
        <v/>
      </c>
      <c r="G359" s="188" t="str">
        <f t="shared" si="264"/>
        <v/>
      </c>
      <c r="H359" s="189" t="str">
        <f t="shared" si="262"/>
        <v/>
      </c>
      <c r="I359" s="189" t="str">
        <f t="shared" si="265"/>
        <v/>
      </c>
      <c r="J359" s="183" t="str">
        <f t="shared" si="266"/>
        <v/>
      </c>
      <c r="K359" s="183" t="str">
        <f>IF(D359=100%,'Données d''entrée'!$C$555,"")</f>
        <v/>
      </c>
      <c r="L359" s="183" t="str">
        <f>IF(E359=100%,'Données d''entrée'!$D$555,"")</f>
        <v/>
      </c>
      <c r="M359" s="183" t="str">
        <f t="shared" si="267"/>
        <v/>
      </c>
      <c r="N359" s="185" t="str">
        <f t="shared" si="268"/>
        <v/>
      </c>
      <c r="O359" s="142" t="str">
        <f>IF(D359=100%,'Données d''entrée'!$C$556,"")</f>
        <v/>
      </c>
      <c r="P359" s="142" t="str">
        <f>IF(E359=100%,'Données d''entrée'!$D$556,"")</f>
        <v/>
      </c>
      <c r="Q359" s="142" t="str">
        <f t="shared" si="269"/>
        <v/>
      </c>
      <c r="R359" s="185" t="str">
        <f t="shared" si="270"/>
        <v/>
      </c>
      <c r="S359" s="142" t="str">
        <f>IF(D359=100%,'Données d''entrée'!$C$557,"")</f>
        <v/>
      </c>
      <c r="T359" s="142" t="str">
        <f>IF(E359=100%,'Données d''entrée'!$D$557,"")</f>
        <v/>
      </c>
      <c r="U359" s="142" t="str">
        <f t="shared" si="271"/>
        <v/>
      </c>
      <c r="V359" s="142" t="str">
        <f t="shared" si="272"/>
        <v/>
      </c>
      <c r="W359" s="117">
        <f t="shared" si="273"/>
        <v>0</v>
      </c>
      <c r="X359" s="117">
        <f t="shared" si="274"/>
        <v>0</v>
      </c>
      <c r="Y359" s="117">
        <f t="shared" si="275"/>
        <v>0</v>
      </c>
    </row>
    <row r="360" spans="1:25" hidden="1" x14ac:dyDescent="0.35">
      <c r="A360" s="130">
        <v>8</v>
      </c>
      <c r="B360" s="131" t="str">
        <f>IF(Exploitation!B22="","",Exploitation!B22)</f>
        <v/>
      </c>
      <c r="C360" s="187" t="str">
        <f t="shared" ref="C360:E360" si="286">C82</f>
        <v/>
      </c>
      <c r="D360" s="188" t="str">
        <f t="shared" si="286"/>
        <v/>
      </c>
      <c r="E360" s="188" t="str">
        <f t="shared" si="286"/>
        <v/>
      </c>
      <c r="F360" s="188" t="str">
        <f t="shared" ref="F360" si="287">G82</f>
        <v/>
      </c>
      <c r="G360" s="188" t="str">
        <f t="shared" si="264"/>
        <v/>
      </c>
      <c r="H360" s="189" t="str">
        <f t="shared" si="262"/>
        <v/>
      </c>
      <c r="I360" s="189" t="str">
        <f t="shared" si="265"/>
        <v/>
      </c>
      <c r="J360" s="183" t="str">
        <f t="shared" si="266"/>
        <v/>
      </c>
      <c r="K360" s="183" t="str">
        <f>IF(D360=100%,'Données d''entrée'!$C$555,"")</f>
        <v/>
      </c>
      <c r="L360" s="183" t="str">
        <f>IF(E360=100%,'Données d''entrée'!$D$555,"")</f>
        <v/>
      </c>
      <c r="M360" s="183" t="str">
        <f t="shared" si="267"/>
        <v/>
      </c>
      <c r="N360" s="185" t="str">
        <f t="shared" si="268"/>
        <v/>
      </c>
      <c r="O360" s="142" t="str">
        <f>IF(D360=100%,'Données d''entrée'!$C$556,"")</f>
        <v/>
      </c>
      <c r="P360" s="142" t="str">
        <f>IF(E360=100%,'Données d''entrée'!$D$556,"")</f>
        <v/>
      </c>
      <c r="Q360" s="142" t="str">
        <f t="shared" si="269"/>
        <v/>
      </c>
      <c r="R360" s="185" t="str">
        <f t="shared" si="270"/>
        <v/>
      </c>
      <c r="S360" s="142" t="str">
        <f>IF(D360=100%,'Données d''entrée'!$C$557,"")</f>
        <v/>
      </c>
      <c r="T360" s="142" t="str">
        <f>IF(E360=100%,'Données d''entrée'!$D$557,"")</f>
        <v/>
      </c>
      <c r="U360" s="142" t="str">
        <f t="shared" si="271"/>
        <v/>
      </c>
      <c r="V360" s="142" t="str">
        <f t="shared" si="272"/>
        <v/>
      </c>
      <c r="W360" s="117">
        <f t="shared" si="273"/>
        <v>0</v>
      </c>
      <c r="X360" s="117">
        <f t="shared" si="274"/>
        <v>0</v>
      </c>
      <c r="Y360" s="117">
        <f t="shared" si="275"/>
        <v>0</v>
      </c>
    </row>
    <row r="361" spans="1:25" hidden="1" x14ac:dyDescent="0.35">
      <c r="A361" s="130">
        <v>9</v>
      </c>
      <c r="B361" s="131" t="str">
        <f>IF(Exploitation!B23="","",Exploitation!B23)</f>
        <v/>
      </c>
      <c r="C361" s="187" t="str">
        <f t="shared" ref="C361:E361" si="288">C83</f>
        <v/>
      </c>
      <c r="D361" s="188" t="str">
        <f t="shared" si="288"/>
        <v/>
      </c>
      <c r="E361" s="188" t="str">
        <f t="shared" si="288"/>
        <v/>
      </c>
      <c r="F361" s="188" t="str">
        <f t="shared" ref="F361" si="289">G83</f>
        <v/>
      </c>
      <c r="G361" s="188" t="str">
        <f t="shared" si="264"/>
        <v/>
      </c>
      <c r="H361" s="189" t="str">
        <f t="shared" si="262"/>
        <v/>
      </c>
      <c r="I361" s="189" t="str">
        <f t="shared" si="265"/>
        <v/>
      </c>
      <c r="J361" s="183" t="str">
        <f t="shared" si="266"/>
        <v/>
      </c>
      <c r="K361" s="183" t="str">
        <f>IF(D361=100%,'Données d''entrée'!$C$555,"")</f>
        <v/>
      </c>
      <c r="L361" s="183" t="str">
        <f>IF(E361=100%,'Données d''entrée'!$D$555,"")</f>
        <v/>
      </c>
      <c r="M361" s="183" t="str">
        <f t="shared" si="267"/>
        <v/>
      </c>
      <c r="N361" s="185" t="str">
        <f t="shared" si="268"/>
        <v/>
      </c>
      <c r="O361" s="142" t="str">
        <f>IF(D361=100%,'Données d''entrée'!$C$556,"")</f>
        <v/>
      </c>
      <c r="P361" s="142" t="str">
        <f>IF(E361=100%,'Données d''entrée'!$D$556,"")</f>
        <v/>
      </c>
      <c r="Q361" s="142" t="str">
        <f t="shared" si="269"/>
        <v/>
      </c>
      <c r="R361" s="185" t="str">
        <f t="shared" si="270"/>
        <v/>
      </c>
      <c r="S361" s="142" t="str">
        <f>IF(D361=100%,'Données d''entrée'!$C$557,"")</f>
        <v/>
      </c>
      <c r="T361" s="142" t="str">
        <f>IF(E361=100%,'Données d''entrée'!$D$557,"")</f>
        <v/>
      </c>
      <c r="U361" s="142" t="str">
        <f t="shared" si="271"/>
        <v/>
      </c>
      <c r="V361" s="142" t="str">
        <f t="shared" si="272"/>
        <v/>
      </c>
      <c r="W361" s="117">
        <f t="shared" si="273"/>
        <v>0</v>
      </c>
      <c r="X361" s="117">
        <f t="shared" si="274"/>
        <v>0</v>
      </c>
      <c r="Y361" s="117">
        <f t="shared" si="275"/>
        <v>0</v>
      </c>
    </row>
    <row r="362" spans="1:25" hidden="1" x14ac:dyDescent="0.35">
      <c r="A362" s="130">
        <v>10</v>
      </c>
      <c r="B362" s="131" t="str">
        <f>IF(Exploitation!B24="","",Exploitation!B24)</f>
        <v/>
      </c>
      <c r="C362" s="187" t="str">
        <f t="shared" ref="C362:E362" si="290">C84</f>
        <v/>
      </c>
      <c r="D362" s="188" t="str">
        <f t="shared" si="290"/>
        <v/>
      </c>
      <c r="E362" s="188" t="str">
        <f t="shared" si="290"/>
        <v/>
      </c>
      <c r="F362" s="188" t="str">
        <f t="shared" ref="F362" si="291">G84</f>
        <v/>
      </c>
      <c r="G362" s="188" t="str">
        <f t="shared" si="264"/>
        <v/>
      </c>
      <c r="H362" s="189" t="str">
        <f t="shared" si="262"/>
        <v/>
      </c>
      <c r="I362" s="189" t="str">
        <f t="shared" si="265"/>
        <v/>
      </c>
      <c r="J362" s="183" t="str">
        <f t="shared" si="266"/>
        <v/>
      </c>
      <c r="K362" s="183" t="str">
        <f>IF(D362=100%,'Données d''entrée'!$C$555,"")</f>
        <v/>
      </c>
      <c r="L362" s="183" t="str">
        <f>IF(E362=100%,'Données d''entrée'!$D$555,"")</f>
        <v/>
      </c>
      <c r="M362" s="183" t="str">
        <f t="shared" si="267"/>
        <v/>
      </c>
      <c r="N362" s="185" t="str">
        <f t="shared" si="268"/>
        <v/>
      </c>
      <c r="O362" s="142" t="str">
        <f>IF(D362=100%,'Données d''entrée'!$C$556,"")</f>
        <v/>
      </c>
      <c r="P362" s="142" t="str">
        <f>IF(E362=100%,'Données d''entrée'!$D$556,"")</f>
        <v/>
      </c>
      <c r="Q362" s="142" t="str">
        <f t="shared" si="269"/>
        <v/>
      </c>
      <c r="R362" s="185" t="str">
        <f t="shared" si="270"/>
        <v/>
      </c>
      <c r="S362" s="142" t="str">
        <f>IF(D362=100%,'Données d''entrée'!$C$557,"")</f>
        <v/>
      </c>
      <c r="T362" s="142" t="str">
        <f>IF(E362=100%,'Données d''entrée'!$D$557,"")</f>
        <v/>
      </c>
      <c r="U362" s="142" t="str">
        <f t="shared" si="271"/>
        <v/>
      </c>
      <c r="V362" s="142" t="str">
        <f t="shared" si="272"/>
        <v/>
      </c>
      <c r="W362" s="117">
        <f t="shared" si="273"/>
        <v>0</v>
      </c>
      <c r="X362" s="117">
        <f t="shared" si="274"/>
        <v>0</v>
      </c>
      <c r="Y362" s="117">
        <f t="shared" si="275"/>
        <v>0</v>
      </c>
    </row>
    <row r="363" spans="1:25" hidden="1" x14ac:dyDescent="0.35">
      <c r="A363" s="130">
        <v>11</v>
      </c>
      <c r="B363" s="131" t="str">
        <f>IF(Exploitation!B25="","",Exploitation!B25)</f>
        <v/>
      </c>
      <c r="C363" s="187" t="str">
        <f t="shared" ref="C363:E363" si="292">C85</f>
        <v/>
      </c>
      <c r="D363" s="188" t="str">
        <f t="shared" si="292"/>
        <v/>
      </c>
      <c r="E363" s="188" t="str">
        <f t="shared" si="292"/>
        <v/>
      </c>
      <c r="F363" s="188" t="str">
        <f t="shared" ref="F363" si="293">G85</f>
        <v/>
      </c>
      <c r="G363" s="188" t="str">
        <f t="shared" si="264"/>
        <v/>
      </c>
      <c r="H363" s="189" t="str">
        <f t="shared" si="262"/>
        <v/>
      </c>
      <c r="I363" s="189" t="str">
        <f t="shared" si="265"/>
        <v/>
      </c>
      <c r="J363" s="183" t="str">
        <f t="shared" si="266"/>
        <v/>
      </c>
      <c r="K363" s="183" t="str">
        <f>IF(D363=100%,'Données d''entrée'!$C$555,"")</f>
        <v/>
      </c>
      <c r="L363" s="183" t="str">
        <f>IF(E363=100%,'Données d''entrée'!$D$555,"")</f>
        <v/>
      </c>
      <c r="M363" s="183" t="str">
        <f t="shared" si="267"/>
        <v/>
      </c>
      <c r="N363" s="185" t="str">
        <f t="shared" si="268"/>
        <v/>
      </c>
      <c r="O363" s="142" t="str">
        <f>IF(D363=100%,'Données d''entrée'!$C$556,"")</f>
        <v/>
      </c>
      <c r="P363" s="142" t="str">
        <f>IF(E363=100%,'Données d''entrée'!$D$556,"")</f>
        <v/>
      </c>
      <c r="Q363" s="142" t="str">
        <f t="shared" si="269"/>
        <v/>
      </c>
      <c r="R363" s="185" t="str">
        <f t="shared" si="270"/>
        <v/>
      </c>
      <c r="S363" s="142" t="str">
        <f>IF(D363=100%,'Données d''entrée'!$C$557,"")</f>
        <v/>
      </c>
      <c r="T363" s="142" t="str">
        <f>IF(E363=100%,'Données d''entrée'!$D$557,"")</f>
        <v/>
      </c>
      <c r="U363" s="142" t="str">
        <f t="shared" si="271"/>
        <v/>
      </c>
      <c r="V363" s="142" t="str">
        <f t="shared" si="272"/>
        <v/>
      </c>
      <c r="W363" s="117">
        <f t="shared" si="273"/>
        <v>0</v>
      </c>
      <c r="X363" s="117">
        <f t="shared" si="274"/>
        <v>0</v>
      </c>
      <c r="Y363" s="117">
        <f t="shared" si="275"/>
        <v>0</v>
      </c>
    </row>
    <row r="364" spans="1:25" hidden="1" x14ac:dyDescent="0.35">
      <c r="A364" s="130">
        <v>12</v>
      </c>
      <c r="B364" s="131" t="str">
        <f>IF(Exploitation!B26="","",Exploitation!B26)</f>
        <v/>
      </c>
      <c r="C364" s="187" t="str">
        <f t="shared" ref="C364:E364" si="294">C86</f>
        <v/>
      </c>
      <c r="D364" s="188" t="str">
        <f t="shared" si="294"/>
        <v/>
      </c>
      <c r="E364" s="188" t="str">
        <f t="shared" si="294"/>
        <v/>
      </c>
      <c r="F364" s="188" t="str">
        <f t="shared" ref="F364" si="295">G86</f>
        <v/>
      </c>
      <c r="G364" s="188" t="str">
        <f t="shared" si="264"/>
        <v/>
      </c>
      <c r="H364" s="189" t="str">
        <f t="shared" si="262"/>
        <v/>
      </c>
      <c r="I364" s="189" t="str">
        <f t="shared" si="265"/>
        <v/>
      </c>
      <c r="J364" s="183" t="str">
        <f t="shared" si="266"/>
        <v/>
      </c>
      <c r="K364" s="183" t="str">
        <f>IF(D364=100%,'Données d''entrée'!$C$555,"")</f>
        <v/>
      </c>
      <c r="L364" s="183" t="str">
        <f>IF(E364=100%,'Données d''entrée'!$D$555,"")</f>
        <v/>
      </c>
      <c r="M364" s="183" t="str">
        <f t="shared" si="267"/>
        <v/>
      </c>
      <c r="N364" s="185" t="str">
        <f t="shared" si="268"/>
        <v/>
      </c>
      <c r="O364" s="142" t="str">
        <f>IF(D364=100%,'Données d''entrée'!$C$556,"")</f>
        <v/>
      </c>
      <c r="P364" s="142" t="str">
        <f>IF(E364=100%,'Données d''entrée'!$D$556,"")</f>
        <v/>
      </c>
      <c r="Q364" s="142" t="str">
        <f t="shared" si="269"/>
        <v/>
      </c>
      <c r="R364" s="185" t="str">
        <f t="shared" si="270"/>
        <v/>
      </c>
      <c r="S364" s="142" t="str">
        <f>IF(D364=100%,'Données d''entrée'!$C$557,"")</f>
        <v/>
      </c>
      <c r="T364" s="142" t="str">
        <f>IF(E364=100%,'Données d''entrée'!$D$557,"")</f>
        <v/>
      </c>
      <c r="U364" s="142" t="str">
        <f t="shared" si="271"/>
        <v/>
      </c>
      <c r="V364" s="142" t="str">
        <f t="shared" si="272"/>
        <v/>
      </c>
      <c r="W364" s="117">
        <f t="shared" si="273"/>
        <v>0</v>
      </c>
      <c r="X364" s="117">
        <f t="shared" si="274"/>
        <v>0</v>
      </c>
      <c r="Y364" s="117">
        <f t="shared" si="275"/>
        <v>0</v>
      </c>
    </row>
    <row r="365" spans="1:25" hidden="1" x14ac:dyDescent="0.35">
      <c r="A365" s="130">
        <v>13</v>
      </c>
      <c r="B365" s="131" t="str">
        <f>IF(Exploitation!B27="","",Exploitation!B27)</f>
        <v/>
      </c>
      <c r="C365" s="187" t="str">
        <f t="shared" ref="C365:E365" si="296">C87</f>
        <v/>
      </c>
      <c r="D365" s="188" t="str">
        <f t="shared" si="296"/>
        <v/>
      </c>
      <c r="E365" s="188" t="str">
        <f t="shared" si="296"/>
        <v/>
      </c>
      <c r="F365" s="188" t="str">
        <f t="shared" ref="F365" si="297">G87</f>
        <v/>
      </c>
      <c r="G365" s="188" t="str">
        <f t="shared" si="264"/>
        <v/>
      </c>
      <c r="H365" s="189" t="str">
        <f t="shared" si="262"/>
        <v/>
      </c>
      <c r="I365" s="189" t="str">
        <f t="shared" si="265"/>
        <v/>
      </c>
      <c r="J365" s="183" t="str">
        <f t="shared" si="266"/>
        <v/>
      </c>
      <c r="K365" s="183" t="str">
        <f>IF(D365=100%,'Données d''entrée'!$C$555,"")</f>
        <v/>
      </c>
      <c r="L365" s="183" t="str">
        <f>IF(E365=100%,'Données d''entrée'!$D$555,"")</f>
        <v/>
      </c>
      <c r="M365" s="183" t="str">
        <f t="shared" si="267"/>
        <v/>
      </c>
      <c r="N365" s="185" t="str">
        <f t="shared" si="268"/>
        <v/>
      </c>
      <c r="O365" s="142" t="str">
        <f>IF(D365=100%,'Données d''entrée'!$C$556,"")</f>
        <v/>
      </c>
      <c r="P365" s="142" t="str">
        <f>IF(E365=100%,'Données d''entrée'!$D$556,"")</f>
        <v/>
      </c>
      <c r="Q365" s="142" t="str">
        <f t="shared" si="269"/>
        <v/>
      </c>
      <c r="R365" s="185" t="str">
        <f t="shared" si="270"/>
        <v/>
      </c>
      <c r="S365" s="142" t="str">
        <f>IF(D365=100%,'Données d''entrée'!$C$557,"")</f>
        <v/>
      </c>
      <c r="T365" s="142" t="str">
        <f>IF(E365=100%,'Données d''entrée'!$D$557,"")</f>
        <v/>
      </c>
      <c r="U365" s="142" t="str">
        <f t="shared" si="271"/>
        <v/>
      </c>
      <c r="V365" s="142" t="str">
        <f t="shared" si="272"/>
        <v/>
      </c>
      <c r="W365" s="117">
        <f t="shared" si="273"/>
        <v>0</v>
      </c>
      <c r="X365" s="117">
        <f t="shared" si="274"/>
        <v>0</v>
      </c>
      <c r="Y365" s="117">
        <f t="shared" si="275"/>
        <v>0</v>
      </c>
    </row>
    <row r="366" spans="1:25" hidden="1" x14ac:dyDescent="0.35">
      <c r="A366" s="130">
        <v>14</v>
      </c>
      <c r="B366" s="131" t="str">
        <f>IF(Exploitation!B28="","",Exploitation!B28)</f>
        <v/>
      </c>
      <c r="C366" s="187" t="str">
        <f t="shared" ref="C366:E366" si="298">C88</f>
        <v/>
      </c>
      <c r="D366" s="188" t="str">
        <f t="shared" si="298"/>
        <v/>
      </c>
      <c r="E366" s="188" t="str">
        <f t="shared" si="298"/>
        <v/>
      </c>
      <c r="F366" s="188" t="str">
        <f t="shared" ref="F366" si="299">G88</f>
        <v/>
      </c>
      <c r="G366" s="188" t="str">
        <f t="shared" si="264"/>
        <v/>
      </c>
      <c r="H366" s="189" t="str">
        <f t="shared" si="262"/>
        <v/>
      </c>
      <c r="I366" s="189" t="str">
        <f t="shared" si="265"/>
        <v/>
      </c>
      <c r="J366" s="183" t="str">
        <f t="shared" si="266"/>
        <v/>
      </c>
      <c r="K366" s="183" t="str">
        <f>IF(D366=100%,'Données d''entrée'!$C$555,"")</f>
        <v/>
      </c>
      <c r="L366" s="183" t="str">
        <f>IF(E366=100%,'Données d''entrée'!$D$555,"")</f>
        <v/>
      </c>
      <c r="M366" s="183" t="str">
        <f t="shared" si="267"/>
        <v/>
      </c>
      <c r="N366" s="185" t="str">
        <f t="shared" si="268"/>
        <v/>
      </c>
      <c r="O366" s="142" t="str">
        <f>IF(D366=100%,'Données d''entrée'!$C$556,"")</f>
        <v/>
      </c>
      <c r="P366" s="142" t="str">
        <f>IF(E366=100%,'Données d''entrée'!$D$556,"")</f>
        <v/>
      </c>
      <c r="Q366" s="142" t="str">
        <f t="shared" si="269"/>
        <v/>
      </c>
      <c r="R366" s="185" t="str">
        <f t="shared" si="270"/>
        <v/>
      </c>
      <c r="S366" s="142" t="str">
        <f>IF(D366=100%,'Données d''entrée'!$C$557,"")</f>
        <v/>
      </c>
      <c r="T366" s="142" t="str">
        <f>IF(E366=100%,'Données d''entrée'!$D$557,"")</f>
        <v/>
      </c>
      <c r="U366" s="142" t="str">
        <f t="shared" si="271"/>
        <v/>
      </c>
      <c r="V366" s="142" t="str">
        <f t="shared" si="272"/>
        <v/>
      </c>
      <c r="W366" s="117">
        <f t="shared" si="273"/>
        <v>0</v>
      </c>
      <c r="X366" s="117">
        <f t="shared" si="274"/>
        <v>0</v>
      </c>
      <c r="Y366" s="117">
        <f t="shared" si="275"/>
        <v>0</v>
      </c>
    </row>
    <row r="367" spans="1:25" hidden="1" x14ac:dyDescent="0.35">
      <c r="A367" s="130">
        <v>15</v>
      </c>
      <c r="B367" s="131" t="str">
        <f>IF(Exploitation!B29="","",Exploitation!B29)</f>
        <v/>
      </c>
      <c r="C367" s="187" t="str">
        <f t="shared" ref="C367:E367" si="300">C89</f>
        <v/>
      </c>
      <c r="D367" s="188" t="str">
        <f t="shared" si="300"/>
        <v/>
      </c>
      <c r="E367" s="188" t="str">
        <f t="shared" si="300"/>
        <v/>
      </c>
      <c r="F367" s="188" t="str">
        <f t="shared" ref="F367" si="301">G89</f>
        <v/>
      </c>
      <c r="G367" s="188" t="str">
        <f t="shared" si="264"/>
        <v/>
      </c>
      <c r="H367" s="189" t="str">
        <f t="shared" si="262"/>
        <v/>
      </c>
      <c r="I367" s="189" t="str">
        <f t="shared" si="265"/>
        <v/>
      </c>
      <c r="J367" s="183" t="str">
        <f t="shared" si="266"/>
        <v/>
      </c>
      <c r="K367" s="183" t="str">
        <f>IF(D367=100%,'Données d''entrée'!$C$555,"")</f>
        <v/>
      </c>
      <c r="L367" s="183" t="str">
        <f>IF(E367=100%,'Données d''entrée'!$D$555,"")</f>
        <v/>
      </c>
      <c r="M367" s="183" t="str">
        <f t="shared" si="267"/>
        <v/>
      </c>
      <c r="N367" s="185" t="str">
        <f t="shared" si="268"/>
        <v/>
      </c>
      <c r="O367" s="142" t="str">
        <f>IF(D367=100%,'Données d''entrée'!$C$556,"")</f>
        <v/>
      </c>
      <c r="P367" s="142" t="str">
        <f>IF(E367=100%,'Données d''entrée'!$D$556,"")</f>
        <v/>
      </c>
      <c r="Q367" s="142" t="str">
        <f t="shared" si="269"/>
        <v/>
      </c>
      <c r="R367" s="185" t="str">
        <f t="shared" si="270"/>
        <v/>
      </c>
      <c r="S367" s="142" t="str">
        <f>IF(D367=100%,'Données d''entrée'!$C$557,"")</f>
        <v/>
      </c>
      <c r="T367" s="142" t="str">
        <f>IF(E367=100%,'Données d''entrée'!$D$557,"")</f>
        <v/>
      </c>
      <c r="U367" s="142" t="str">
        <f t="shared" si="271"/>
        <v/>
      </c>
      <c r="V367" s="142" t="str">
        <f t="shared" si="272"/>
        <v/>
      </c>
      <c r="W367" s="117">
        <f t="shared" si="273"/>
        <v>0</v>
      </c>
      <c r="X367" s="117">
        <f t="shared" si="274"/>
        <v>0</v>
      </c>
      <c r="Y367" s="117">
        <f t="shared" si="275"/>
        <v>0</v>
      </c>
    </row>
    <row r="368" spans="1:25" hidden="1" x14ac:dyDescent="0.35">
      <c r="A368" s="130">
        <v>16</v>
      </c>
      <c r="B368" s="131" t="str">
        <f>IF(Exploitation!B30="","",Exploitation!B30)</f>
        <v/>
      </c>
      <c r="C368" s="187" t="str">
        <f t="shared" ref="C368:E368" si="302">C90</f>
        <v/>
      </c>
      <c r="D368" s="188" t="str">
        <f t="shared" si="302"/>
        <v/>
      </c>
      <c r="E368" s="188" t="str">
        <f t="shared" si="302"/>
        <v/>
      </c>
      <c r="F368" s="188" t="str">
        <f t="shared" ref="F368" si="303">G90</f>
        <v/>
      </c>
      <c r="G368" s="188" t="str">
        <f t="shared" si="264"/>
        <v/>
      </c>
      <c r="H368" s="189" t="str">
        <f t="shared" si="262"/>
        <v/>
      </c>
      <c r="I368" s="189" t="str">
        <f t="shared" si="265"/>
        <v/>
      </c>
      <c r="J368" s="183" t="str">
        <f t="shared" si="266"/>
        <v/>
      </c>
      <c r="K368" s="183" t="str">
        <f>IF(D368=100%,'Données d''entrée'!$C$555,"")</f>
        <v/>
      </c>
      <c r="L368" s="183" t="str">
        <f>IF(E368=100%,'Données d''entrée'!$D$555,"")</f>
        <v/>
      </c>
      <c r="M368" s="183" t="str">
        <f t="shared" si="267"/>
        <v/>
      </c>
      <c r="N368" s="185" t="str">
        <f t="shared" si="268"/>
        <v/>
      </c>
      <c r="O368" s="142" t="str">
        <f>IF(D368=100%,'Données d''entrée'!$C$556,"")</f>
        <v/>
      </c>
      <c r="P368" s="142" t="str">
        <f>IF(E368=100%,'Données d''entrée'!$D$556,"")</f>
        <v/>
      </c>
      <c r="Q368" s="142" t="str">
        <f t="shared" si="269"/>
        <v/>
      </c>
      <c r="R368" s="185" t="str">
        <f t="shared" si="270"/>
        <v/>
      </c>
      <c r="S368" s="142" t="str">
        <f>IF(D368=100%,'Données d''entrée'!$C$557,"")</f>
        <v/>
      </c>
      <c r="T368" s="142" t="str">
        <f>IF(E368=100%,'Données d''entrée'!$D$557,"")</f>
        <v/>
      </c>
      <c r="U368" s="142" t="str">
        <f t="shared" si="271"/>
        <v/>
      </c>
      <c r="V368" s="142" t="str">
        <f t="shared" si="272"/>
        <v/>
      </c>
      <c r="W368" s="117">
        <f t="shared" si="273"/>
        <v>0</v>
      </c>
      <c r="X368" s="117">
        <f t="shared" si="274"/>
        <v>0</v>
      </c>
      <c r="Y368" s="117">
        <f t="shared" si="275"/>
        <v>0</v>
      </c>
    </row>
    <row r="369" spans="1:25" hidden="1" x14ac:dyDescent="0.35">
      <c r="A369" s="130">
        <v>17</v>
      </c>
      <c r="B369" s="131" t="str">
        <f>IF(Exploitation!B31="","",Exploitation!B31)</f>
        <v/>
      </c>
      <c r="C369" s="187" t="str">
        <f t="shared" ref="C369:E369" si="304">C91</f>
        <v/>
      </c>
      <c r="D369" s="188" t="str">
        <f t="shared" si="304"/>
        <v/>
      </c>
      <c r="E369" s="188" t="str">
        <f t="shared" si="304"/>
        <v/>
      </c>
      <c r="F369" s="188" t="str">
        <f t="shared" ref="F369" si="305">G91</f>
        <v/>
      </c>
      <c r="G369" s="188" t="str">
        <f t="shared" si="264"/>
        <v/>
      </c>
      <c r="H369" s="189" t="str">
        <f t="shared" si="262"/>
        <v/>
      </c>
      <c r="I369" s="189" t="str">
        <f t="shared" si="265"/>
        <v/>
      </c>
      <c r="J369" s="183" t="str">
        <f t="shared" si="266"/>
        <v/>
      </c>
      <c r="K369" s="183" t="str">
        <f>IF(D369=100%,'Données d''entrée'!$C$555,"")</f>
        <v/>
      </c>
      <c r="L369" s="183" t="str">
        <f>IF(E369=100%,'Données d''entrée'!$D$555,"")</f>
        <v/>
      </c>
      <c r="M369" s="183" t="str">
        <f t="shared" si="267"/>
        <v/>
      </c>
      <c r="N369" s="185" t="str">
        <f t="shared" si="268"/>
        <v/>
      </c>
      <c r="O369" s="142" t="str">
        <f>IF(D369=100%,'Données d''entrée'!$C$556,"")</f>
        <v/>
      </c>
      <c r="P369" s="142" t="str">
        <f>IF(E369=100%,'Données d''entrée'!$D$556,"")</f>
        <v/>
      </c>
      <c r="Q369" s="142" t="str">
        <f t="shared" si="269"/>
        <v/>
      </c>
      <c r="R369" s="185" t="str">
        <f t="shared" si="270"/>
        <v/>
      </c>
      <c r="S369" s="142" t="str">
        <f>IF(D369=100%,'Données d''entrée'!$C$557,"")</f>
        <v/>
      </c>
      <c r="T369" s="142" t="str">
        <f>IF(E369=100%,'Données d''entrée'!$D$557,"")</f>
        <v/>
      </c>
      <c r="U369" s="142" t="str">
        <f t="shared" si="271"/>
        <v/>
      </c>
      <c r="V369" s="142" t="str">
        <f t="shared" si="272"/>
        <v/>
      </c>
      <c r="W369" s="117">
        <f t="shared" si="273"/>
        <v>0</v>
      </c>
      <c r="X369" s="117">
        <f t="shared" si="274"/>
        <v>0</v>
      </c>
      <c r="Y369" s="117">
        <f t="shared" si="275"/>
        <v>0</v>
      </c>
    </row>
    <row r="370" spans="1:25" hidden="1" x14ac:dyDescent="0.35">
      <c r="A370" s="130">
        <v>18</v>
      </c>
      <c r="B370" s="131" t="str">
        <f>IF(Exploitation!B32="","",Exploitation!B32)</f>
        <v/>
      </c>
      <c r="C370" s="187" t="str">
        <f t="shared" ref="C370:E370" si="306">C92</f>
        <v/>
      </c>
      <c r="D370" s="188" t="str">
        <f t="shared" si="306"/>
        <v/>
      </c>
      <c r="E370" s="188" t="str">
        <f t="shared" si="306"/>
        <v/>
      </c>
      <c r="F370" s="188" t="str">
        <f t="shared" ref="F370:G372" si="307">G92</f>
        <v/>
      </c>
      <c r="G370" s="188" t="str">
        <f t="shared" si="307"/>
        <v/>
      </c>
      <c r="H370" s="189" t="str">
        <f t="shared" si="262"/>
        <v/>
      </c>
      <c r="I370" s="189" t="str">
        <f t="shared" si="265"/>
        <v/>
      </c>
      <c r="J370" s="183" t="str">
        <f t="shared" si="266"/>
        <v/>
      </c>
      <c r="K370" s="183" t="str">
        <f>IF(D370=100%,'Données d''entrée'!$C$555,"")</f>
        <v/>
      </c>
      <c r="L370" s="183" t="str">
        <f>IF(E370=100%,'Données d''entrée'!$D$555,"")</f>
        <v/>
      </c>
      <c r="M370" s="183" t="str">
        <f t="shared" si="267"/>
        <v/>
      </c>
      <c r="N370" s="185" t="str">
        <f t="shared" si="268"/>
        <v/>
      </c>
      <c r="O370" s="142" t="str">
        <f>IF(D370=100%,'Données d''entrée'!$C$556,"")</f>
        <v/>
      </c>
      <c r="P370" s="142" t="str">
        <f>IF(E370=100%,'Données d''entrée'!$D$556,"")</f>
        <v/>
      </c>
      <c r="Q370" s="142" t="str">
        <f t="shared" si="269"/>
        <v/>
      </c>
      <c r="R370" s="185" t="str">
        <f t="shared" si="270"/>
        <v/>
      </c>
      <c r="S370" s="142" t="str">
        <f>IF(D370=100%,'Données d''entrée'!$C$557,"")</f>
        <v/>
      </c>
      <c r="T370" s="142" t="str">
        <f>IF(E370=100%,'Données d''entrée'!$D$557,"")</f>
        <v/>
      </c>
      <c r="U370" s="142" t="str">
        <f t="shared" si="271"/>
        <v/>
      </c>
      <c r="V370" s="142" t="str">
        <f t="shared" si="272"/>
        <v/>
      </c>
      <c r="W370" s="117">
        <f t="shared" si="273"/>
        <v>0</v>
      </c>
      <c r="X370" s="117">
        <f t="shared" si="274"/>
        <v>0</v>
      </c>
      <c r="Y370" s="117">
        <f t="shared" si="275"/>
        <v>0</v>
      </c>
    </row>
    <row r="371" spans="1:25" hidden="1" x14ac:dyDescent="0.35">
      <c r="A371" s="130">
        <v>19</v>
      </c>
      <c r="B371" s="131" t="str">
        <f>IF(Exploitation!B33="","",Exploitation!B33)</f>
        <v/>
      </c>
      <c r="C371" s="187" t="str">
        <f t="shared" ref="C371:E371" si="308">C93</f>
        <v/>
      </c>
      <c r="D371" s="188" t="str">
        <f t="shared" si="308"/>
        <v/>
      </c>
      <c r="E371" s="188" t="str">
        <f t="shared" si="308"/>
        <v/>
      </c>
      <c r="F371" s="188" t="str">
        <f t="shared" ref="F371" si="309">G93</f>
        <v/>
      </c>
      <c r="G371" s="188" t="str">
        <f t="shared" si="307"/>
        <v/>
      </c>
      <c r="H371" s="189" t="str">
        <f t="shared" si="262"/>
        <v/>
      </c>
      <c r="I371" s="189" t="str">
        <f t="shared" si="265"/>
        <v/>
      </c>
      <c r="J371" s="183" t="str">
        <f t="shared" si="266"/>
        <v/>
      </c>
      <c r="K371" s="183" t="str">
        <f>IF(D371=100%,'Données d''entrée'!$C$555,"")</f>
        <v/>
      </c>
      <c r="L371" s="183" t="str">
        <f>IF(E371=100%,'Données d''entrée'!$D$555,"")</f>
        <v/>
      </c>
      <c r="M371" s="183" t="str">
        <f t="shared" si="267"/>
        <v/>
      </c>
      <c r="N371" s="185" t="str">
        <f t="shared" si="268"/>
        <v/>
      </c>
      <c r="O371" s="142" t="str">
        <f>IF(D371=100%,'Données d''entrée'!$C$556,"")</f>
        <v/>
      </c>
      <c r="P371" s="142" t="str">
        <f>IF(E371=100%,'Données d''entrée'!$D$556,"")</f>
        <v/>
      </c>
      <c r="Q371" s="142" t="str">
        <f t="shared" si="269"/>
        <v/>
      </c>
      <c r="R371" s="185" t="str">
        <f t="shared" si="270"/>
        <v/>
      </c>
      <c r="S371" s="142" t="str">
        <f>IF(D371=100%,'Données d''entrée'!$C$557,"")</f>
        <v/>
      </c>
      <c r="T371" s="142" t="str">
        <f>IF(E371=100%,'Données d''entrée'!$D$557,"")</f>
        <v/>
      </c>
      <c r="U371" s="142" t="str">
        <f t="shared" si="271"/>
        <v/>
      </c>
      <c r="V371" s="142" t="str">
        <f t="shared" si="272"/>
        <v/>
      </c>
      <c r="W371" s="117">
        <f t="shared" si="273"/>
        <v>0</v>
      </c>
      <c r="X371" s="117">
        <f t="shared" si="274"/>
        <v>0</v>
      </c>
      <c r="Y371" s="117">
        <f t="shared" si="275"/>
        <v>0</v>
      </c>
    </row>
    <row r="372" spans="1:25" hidden="1" x14ac:dyDescent="0.35">
      <c r="A372" s="130">
        <v>20</v>
      </c>
      <c r="B372" s="131" t="str">
        <f>IF(Exploitation!B34="","",Exploitation!B34)</f>
        <v/>
      </c>
      <c r="C372" s="187" t="str">
        <f t="shared" ref="C372:E372" si="310">C94</f>
        <v/>
      </c>
      <c r="D372" s="188" t="str">
        <f t="shared" si="310"/>
        <v/>
      </c>
      <c r="E372" s="188" t="str">
        <f t="shared" si="310"/>
        <v/>
      </c>
      <c r="F372" s="188" t="str">
        <f t="shared" ref="F372" si="311">G94</f>
        <v/>
      </c>
      <c r="G372" s="188" t="str">
        <f t="shared" si="307"/>
        <v/>
      </c>
      <c r="H372" s="189" t="str">
        <f t="shared" si="262"/>
        <v/>
      </c>
      <c r="I372" s="189" t="str">
        <f t="shared" si="265"/>
        <v/>
      </c>
      <c r="J372" s="183" t="str">
        <f t="shared" si="266"/>
        <v/>
      </c>
      <c r="K372" s="183" t="str">
        <f>IF(D372=100%,'Données d''entrée'!$C$555,"")</f>
        <v/>
      </c>
      <c r="L372" s="183" t="str">
        <f>IF(E372=100%,'Données d''entrée'!$D$555,"")</f>
        <v/>
      </c>
      <c r="M372" s="183" t="str">
        <f t="shared" si="267"/>
        <v/>
      </c>
      <c r="N372" s="185" t="str">
        <f t="shared" si="268"/>
        <v/>
      </c>
      <c r="O372" s="142" t="str">
        <f>IF(D372=100%,'Données d''entrée'!$C$556,"")</f>
        <v/>
      </c>
      <c r="P372" s="142" t="str">
        <f>IF(E372=100%,'Données d''entrée'!$D$556,"")</f>
        <v/>
      </c>
      <c r="Q372" s="142" t="str">
        <f t="shared" si="269"/>
        <v/>
      </c>
      <c r="R372" s="185" t="str">
        <f t="shared" si="270"/>
        <v/>
      </c>
      <c r="S372" s="142" t="str">
        <f>IF(D372=100%,'Données d''entrée'!$C$557,"")</f>
        <v/>
      </c>
      <c r="T372" s="142" t="str">
        <f>IF(E372=100%,'Données d''entrée'!$D$557,"")</f>
        <v/>
      </c>
      <c r="U372" s="142" t="str">
        <f t="shared" si="271"/>
        <v/>
      </c>
      <c r="V372" s="142" t="str">
        <f t="shared" si="272"/>
        <v/>
      </c>
      <c r="W372" s="117">
        <f t="shared" si="273"/>
        <v>0</v>
      </c>
      <c r="X372" s="117">
        <f t="shared" si="274"/>
        <v>0</v>
      </c>
      <c r="Y372" s="117">
        <f t="shared" si="275"/>
        <v>0</v>
      </c>
    </row>
    <row r="373" spans="1:25" hidden="1" x14ac:dyDescent="0.35"/>
    <row r="374" spans="1:25" hidden="1" x14ac:dyDescent="0.35"/>
    <row r="375" spans="1:25" ht="26" hidden="1" x14ac:dyDescent="0.6">
      <c r="B375" s="178" t="s">
        <v>275</v>
      </c>
      <c r="C375" s="179">
        <f>SUM($Y$353:$Y$372)</f>
        <v>0</v>
      </c>
      <c r="D375" s="149" t="s">
        <v>276</v>
      </c>
    </row>
    <row r="376" spans="1:25" hidden="1" x14ac:dyDescent="0.35"/>
    <row r="377" spans="1:25" hidden="1" x14ac:dyDescent="0.35"/>
    <row r="378" spans="1:25" hidden="1" x14ac:dyDescent="0.35"/>
    <row r="379" spans="1:25" s="110" customFormat="1" ht="26" hidden="1" x14ac:dyDescent="0.6">
      <c r="A379" s="106" t="s">
        <v>259</v>
      </c>
    </row>
    <row r="380" spans="1:25" hidden="1" x14ac:dyDescent="0.35"/>
    <row r="381" spans="1:25" hidden="1" x14ac:dyDescent="0.35"/>
    <row r="382" spans="1:25" hidden="1" x14ac:dyDescent="0.35"/>
    <row r="383" spans="1:25" ht="63.75" hidden="1" customHeight="1" x14ac:dyDescent="0.35">
      <c r="C383" s="128" t="s">
        <v>260</v>
      </c>
      <c r="D383" s="112" t="s">
        <v>526</v>
      </c>
      <c r="E383" s="112" t="s">
        <v>365</v>
      </c>
      <c r="F383" s="128" t="s">
        <v>261</v>
      </c>
      <c r="G383" s="112" t="s">
        <v>262</v>
      </c>
      <c r="H383" s="135" t="s">
        <v>266</v>
      </c>
      <c r="I383" s="303" t="s">
        <v>647</v>
      </c>
      <c r="J383" s="303" t="s">
        <v>648</v>
      </c>
      <c r="K383" s="135" t="s">
        <v>263</v>
      </c>
      <c r="L383" s="135" t="s">
        <v>509</v>
      </c>
      <c r="M383" s="135" t="s">
        <v>264</v>
      </c>
      <c r="N383" s="112" t="s">
        <v>366</v>
      </c>
      <c r="O383" s="112" t="s">
        <v>367</v>
      </c>
      <c r="P383" s="112" t="s">
        <v>265</v>
      </c>
      <c r="Q383" s="112" t="s">
        <v>267</v>
      </c>
    </row>
    <row r="384" spans="1:25" hidden="1" x14ac:dyDescent="0.35">
      <c r="A384" s="130">
        <v>1</v>
      </c>
      <c r="B384" s="190" t="str">
        <f>IF(Exploitation!B15="","",Exploitation!B15)</f>
        <v/>
      </c>
      <c r="C384" s="191">
        <f>IF(ISERROR(SUMPRODUCT($C$36:$I$36,C48:I48)),"",SUMPRODUCT($C$36:$I$36,C48:I48))</f>
        <v>0</v>
      </c>
      <c r="D384" s="192"/>
      <c r="E384" s="192"/>
      <c r="F384" s="192"/>
      <c r="G384" s="192"/>
      <c r="H384" s="192"/>
      <c r="I384" s="192"/>
      <c r="J384" s="192"/>
      <c r="K384" s="192"/>
      <c r="L384" s="192"/>
      <c r="M384" s="192"/>
      <c r="N384" s="192"/>
      <c r="O384" s="192"/>
      <c r="P384" s="192"/>
      <c r="Q384" s="192"/>
    </row>
    <row r="385" spans="1:17" hidden="1" x14ac:dyDescent="0.35">
      <c r="A385" s="130">
        <v>2</v>
      </c>
      <c r="B385" s="190" t="str">
        <f>IF(Exploitation!B16="","",Exploitation!B16)</f>
        <v/>
      </c>
      <c r="C385" s="191">
        <f t="shared" ref="C385:C398" si="312">IF(ISERROR(SUMPRODUCT($C$36:$I$36,C49:I49)),"",SUMPRODUCT($C$36:$I$36,C49:I49))</f>
        <v>0</v>
      </c>
      <c r="D385" s="192"/>
      <c r="E385" s="192"/>
      <c r="F385" s="192"/>
      <c r="G385" s="192"/>
      <c r="H385" s="192"/>
      <c r="I385" s="192"/>
      <c r="J385" s="192"/>
      <c r="K385" s="192"/>
      <c r="L385" s="192"/>
      <c r="M385" s="192"/>
      <c r="N385" s="192"/>
      <c r="O385" s="192"/>
      <c r="P385" s="192"/>
      <c r="Q385" s="192"/>
    </row>
    <row r="386" spans="1:17" hidden="1" x14ac:dyDescent="0.35">
      <c r="A386" s="130">
        <v>3</v>
      </c>
      <c r="B386" s="190" t="str">
        <f>IF(Exploitation!B17="","",Exploitation!B17)</f>
        <v/>
      </c>
      <c r="C386" s="191">
        <f t="shared" si="312"/>
        <v>0</v>
      </c>
      <c r="D386" s="192"/>
      <c r="E386" s="192"/>
      <c r="F386" s="192"/>
      <c r="G386" s="192"/>
      <c r="H386" s="192"/>
      <c r="I386" s="192"/>
      <c r="J386" s="192"/>
      <c r="K386" s="192"/>
      <c r="L386" s="192"/>
      <c r="M386" s="192"/>
      <c r="N386" s="192"/>
      <c r="O386" s="192"/>
      <c r="P386" s="192"/>
      <c r="Q386" s="192"/>
    </row>
    <row r="387" spans="1:17" hidden="1" x14ac:dyDescent="0.35">
      <c r="A387" s="130">
        <v>4</v>
      </c>
      <c r="B387" s="190" t="str">
        <f>IF(Exploitation!B18="","",Exploitation!B18)</f>
        <v/>
      </c>
      <c r="C387" s="191">
        <f t="shared" si="312"/>
        <v>0</v>
      </c>
      <c r="D387" s="192"/>
      <c r="E387" s="192"/>
      <c r="F387" s="192"/>
      <c r="G387" s="192"/>
      <c r="H387" s="192"/>
      <c r="I387" s="192"/>
      <c r="J387" s="192"/>
      <c r="K387" s="192"/>
      <c r="L387" s="192"/>
      <c r="M387" s="192"/>
      <c r="N387" s="192"/>
      <c r="O387" s="192"/>
      <c r="P387" s="192"/>
      <c r="Q387" s="192"/>
    </row>
    <row r="388" spans="1:17" hidden="1" x14ac:dyDescent="0.35">
      <c r="A388" s="130">
        <v>5</v>
      </c>
      <c r="B388" s="190" t="str">
        <f>IF(Exploitation!B19="","",Exploitation!B19)</f>
        <v/>
      </c>
      <c r="C388" s="191">
        <f t="shared" si="312"/>
        <v>0</v>
      </c>
      <c r="D388" s="192"/>
      <c r="E388" s="192"/>
      <c r="F388" s="192"/>
      <c r="G388" s="192"/>
      <c r="H388" s="192"/>
      <c r="I388" s="192"/>
      <c r="J388" s="192"/>
      <c r="K388" s="192"/>
      <c r="L388" s="192"/>
      <c r="M388" s="192"/>
      <c r="N388" s="192"/>
      <c r="O388" s="192"/>
      <c r="P388" s="192"/>
      <c r="Q388" s="192"/>
    </row>
    <row r="389" spans="1:17" hidden="1" x14ac:dyDescent="0.35">
      <c r="A389" s="130">
        <v>6</v>
      </c>
      <c r="B389" s="190" t="str">
        <f>IF(Exploitation!B20="","",Exploitation!B20)</f>
        <v/>
      </c>
      <c r="C389" s="191">
        <f t="shared" si="312"/>
        <v>0</v>
      </c>
      <c r="D389" s="192"/>
      <c r="E389" s="192"/>
      <c r="F389" s="192"/>
      <c r="G389" s="192"/>
      <c r="H389" s="192"/>
      <c r="I389" s="192"/>
      <c r="J389" s="192"/>
      <c r="K389" s="192"/>
      <c r="L389" s="192"/>
      <c r="M389" s="192"/>
      <c r="N389" s="192"/>
      <c r="O389" s="192"/>
      <c r="P389" s="192"/>
      <c r="Q389" s="192"/>
    </row>
    <row r="390" spans="1:17" hidden="1" x14ac:dyDescent="0.35">
      <c r="A390" s="130">
        <v>7</v>
      </c>
      <c r="B390" s="190" t="str">
        <f>IF(Exploitation!B21="","",Exploitation!B21)</f>
        <v/>
      </c>
      <c r="C390" s="191">
        <f t="shared" si="312"/>
        <v>0</v>
      </c>
      <c r="D390" s="192"/>
      <c r="E390" s="192"/>
      <c r="F390" s="192"/>
      <c r="G390" s="192"/>
      <c r="H390" s="192"/>
      <c r="I390" s="192"/>
      <c r="J390" s="192"/>
      <c r="K390" s="192"/>
      <c r="L390" s="192"/>
      <c r="M390" s="192"/>
      <c r="N390" s="192"/>
      <c r="O390" s="192"/>
      <c r="P390" s="192"/>
      <c r="Q390" s="192"/>
    </row>
    <row r="391" spans="1:17" hidden="1" x14ac:dyDescent="0.35">
      <c r="A391" s="130">
        <v>8</v>
      </c>
      <c r="B391" s="190" t="str">
        <f>IF(Exploitation!B22="","",Exploitation!B22)</f>
        <v/>
      </c>
      <c r="C391" s="191">
        <f t="shared" si="312"/>
        <v>0</v>
      </c>
      <c r="D391" s="192"/>
      <c r="E391" s="192"/>
      <c r="F391" s="192"/>
      <c r="G391" s="192"/>
      <c r="H391" s="192"/>
      <c r="I391" s="192"/>
      <c r="J391" s="192"/>
      <c r="K391" s="192"/>
      <c r="L391" s="192"/>
      <c r="M391" s="192"/>
      <c r="N391" s="192"/>
      <c r="O391" s="192"/>
      <c r="P391" s="192"/>
      <c r="Q391" s="192"/>
    </row>
    <row r="392" spans="1:17" hidden="1" x14ac:dyDescent="0.35">
      <c r="A392" s="130">
        <v>9</v>
      </c>
      <c r="B392" s="190" t="str">
        <f>IF(Exploitation!B23="","",Exploitation!B23)</f>
        <v/>
      </c>
      <c r="C392" s="191">
        <f t="shared" si="312"/>
        <v>0</v>
      </c>
      <c r="D392" s="192"/>
      <c r="E392" s="192"/>
      <c r="F392" s="192"/>
      <c r="G392" s="192"/>
      <c r="H392" s="192"/>
      <c r="I392" s="192"/>
      <c r="J392" s="192"/>
      <c r="K392" s="192"/>
      <c r="L392" s="192"/>
      <c r="M392" s="192"/>
      <c r="N392" s="192"/>
      <c r="O392" s="192"/>
      <c r="P392" s="192"/>
      <c r="Q392" s="192"/>
    </row>
    <row r="393" spans="1:17" hidden="1" x14ac:dyDescent="0.35">
      <c r="A393" s="130">
        <v>10</v>
      </c>
      <c r="B393" s="190" t="str">
        <f>IF(Exploitation!B24="","",Exploitation!B24)</f>
        <v/>
      </c>
      <c r="C393" s="191">
        <f t="shared" si="312"/>
        <v>0</v>
      </c>
      <c r="D393" s="192"/>
      <c r="E393" s="192"/>
      <c r="F393" s="192"/>
      <c r="G393" s="192"/>
      <c r="H393" s="192"/>
      <c r="I393" s="192"/>
      <c r="J393" s="192"/>
      <c r="K393" s="192"/>
      <c r="L393" s="192"/>
      <c r="M393" s="192"/>
      <c r="N393" s="192"/>
      <c r="O393" s="192"/>
      <c r="P393" s="192"/>
      <c r="Q393" s="192"/>
    </row>
    <row r="394" spans="1:17" hidden="1" x14ac:dyDescent="0.35">
      <c r="A394" s="130">
        <v>11</v>
      </c>
      <c r="B394" s="190" t="str">
        <f>IF(Exploitation!B25="","",Exploitation!B25)</f>
        <v/>
      </c>
      <c r="C394" s="191">
        <f t="shared" si="312"/>
        <v>0</v>
      </c>
      <c r="D394" s="192"/>
      <c r="E394" s="192"/>
      <c r="F394" s="192"/>
      <c r="G394" s="192"/>
      <c r="H394" s="192"/>
      <c r="I394" s="192"/>
      <c r="J394" s="192"/>
      <c r="K394" s="192"/>
      <c r="L394" s="192"/>
      <c r="M394" s="192"/>
      <c r="N394" s="192"/>
      <c r="O394" s="192"/>
      <c r="P394" s="192"/>
      <c r="Q394" s="192"/>
    </row>
    <row r="395" spans="1:17" hidden="1" x14ac:dyDescent="0.35">
      <c r="A395" s="130">
        <v>12</v>
      </c>
      <c r="B395" s="190" t="str">
        <f>IF(Exploitation!B26="","",Exploitation!B26)</f>
        <v/>
      </c>
      <c r="C395" s="191">
        <f t="shared" si="312"/>
        <v>0</v>
      </c>
      <c r="D395" s="192"/>
      <c r="E395" s="192"/>
      <c r="F395" s="192"/>
      <c r="G395" s="192"/>
      <c r="H395" s="192"/>
      <c r="I395" s="192"/>
      <c r="J395" s="192"/>
      <c r="K395" s="192"/>
      <c r="L395" s="192"/>
      <c r="M395" s="192"/>
      <c r="N395" s="192"/>
      <c r="O395" s="192"/>
      <c r="P395" s="192"/>
      <c r="Q395" s="192"/>
    </row>
    <row r="396" spans="1:17" hidden="1" x14ac:dyDescent="0.35">
      <c r="A396" s="130">
        <v>13</v>
      </c>
      <c r="B396" s="190" t="str">
        <f>IF(Exploitation!B27="","",Exploitation!B27)</f>
        <v/>
      </c>
      <c r="C396" s="191">
        <f t="shared" si="312"/>
        <v>0</v>
      </c>
      <c r="D396" s="192"/>
      <c r="E396" s="192"/>
      <c r="F396" s="192"/>
      <c r="G396" s="192"/>
      <c r="H396" s="192"/>
      <c r="I396" s="192"/>
      <c r="J396" s="192"/>
      <c r="K396" s="192"/>
      <c r="L396" s="192"/>
      <c r="M396" s="192"/>
      <c r="N396" s="192"/>
      <c r="O396" s="192"/>
      <c r="P396" s="192"/>
      <c r="Q396" s="192"/>
    </row>
    <row r="397" spans="1:17" hidden="1" x14ac:dyDescent="0.35">
      <c r="A397" s="130">
        <v>14</v>
      </c>
      <c r="B397" s="190" t="str">
        <f>IF(Exploitation!B28="","",Exploitation!B28)</f>
        <v/>
      </c>
      <c r="C397" s="191">
        <f t="shared" si="312"/>
        <v>0</v>
      </c>
      <c r="D397" s="192"/>
      <c r="E397" s="192"/>
      <c r="F397" s="192"/>
      <c r="G397" s="192"/>
      <c r="H397" s="192"/>
      <c r="I397" s="192"/>
      <c r="J397" s="192"/>
      <c r="K397" s="192"/>
      <c r="L397" s="192"/>
      <c r="M397" s="192"/>
      <c r="N397" s="192"/>
      <c r="O397" s="192"/>
      <c r="P397" s="192"/>
      <c r="Q397" s="192"/>
    </row>
    <row r="398" spans="1:17" hidden="1" x14ac:dyDescent="0.35">
      <c r="A398" s="130">
        <v>15</v>
      </c>
      <c r="B398" s="190" t="str">
        <f>IF(Exploitation!B29="","",Exploitation!B29)</f>
        <v/>
      </c>
      <c r="C398" s="191">
        <f t="shared" si="312"/>
        <v>0</v>
      </c>
      <c r="D398" s="192"/>
      <c r="E398" s="192"/>
      <c r="F398" s="192"/>
      <c r="G398" s="192"/>
      <c r="H398" s="192"/>
      <c r="I398" s="192"/>
      <c r="J398" s="192"/>
      <c r="K398" s="192"/>
      <c r="L398" s="192"/>
      <c r="M398" s="192"/>
      <c r="N398" s="192"/>
      <c r="O398" s="192"/>
      <c r="P398" s="192"/>
      <c r="Q398" s="192"/>
    </row>
    <row r="399" spans="1:17" hidden="1" x14ac:dyDescent="0.35">
      <c r="A399" s="130">
        <v>16</v>
      </c>
      <c r="B399" s="190" t="str">
        <f>IF(Exploitation!B30="","",Exploitation!B30)</f>
        <v/>
      </c>
      <c r="C399" s="191">
        <f t="shared" ref="C399:C403" si="313">IF(ISERROR(SUMPRODUCT($C$36:$I$36,C63:I63)),"",SUMPRODUCT($C$36:$I$36,C63:I63))</f>
        <v>0</v>
      </c>
      <c r="D399" s="192"/>
      <c r="E399" s="192"/>
      <c r="F399" s="192"/>
      <c r="G399" s="192"/>
      <c r="H399" s="192"/>
      <c r="I399" s="192"/>
      <c r="J399" s="192"/>
      <c r="K399" s="192"/>
      <c r="L399" s="192"/>
      <c r="M399" s="192"/>
      <c r="N399" s="192"/>
      <c r="O399" s="192"/>
      <c r="P399" s="192"/>
      <c r="Q399" s="192"/>
    </row>
    <row r="400" spans="1:17" hidden="1" x14ac:dyDescent="0.35">
      <c r="A400" s="130">
        <v>17</v>
      </c>
      <c r="B400" s="190" t="str">
        <f>IF(Exploitation!B31="","",Exploitation!B31)</f>
        <v/>
      </c>
      <c r="C400" s="191">
        <f t="shared" si="313"/>
        <v>0</v>
      </c>
      <c r="D400" s="192"/>
      <c r="E400" s="192"/>
      <c r="F400" s="192"/>
      <c r="G400" s="192"/>
      <c r="H400" s="192"/>
      <c r="I400" s="192"/>
      <c r="J400" s="192"/>
      <c r="K400" s="192"/>
      <c r="L400" s="192"/>
      <c r="M400" s="192"/>
      <c r="N400" s="192"/>
      <c r="O400" s="192"/>
      <c r="P400" s="192"/>
      <c r="Q400" s="192"/>
    </row>
    <row r="401" spans="1:17" hidden="1" x14ac:dyDescent="0.35">
      <c r="A401" s="130">
        <v>18</v>
      </c>
      <c r="B401" s="190" t="str">
        <f>IF(Exploitation!B32="","",Exploitation!B32)</f>
        <v/>
      </c>
      <c r="C401" s="191">
        <f t="shared" si="313"/>
        <v>0</v>
      </c>
      <c r="D401" s="192"/>
      <c r="E401" s="192"/>
      <c r="F401" s="192"/>
      <c r="G401" s="192"/>
      <c r="H401" s="192"/>
      <c r="I401" s="192"/>
      <c r="J401" s="192"/>
      <c r="K401" s="192"/>
      <c r="L401" s="192"/>
      <c r="M401" s="192"/>
      <c r="N401" s="192"/>
      <c r="O401" s="192"/>
      <c r="P401" s="192"/>
      <c r="Q401" s="192"/>
    </row>
    <row r="402" spans="1:17" hidden="1" x14ac:dyDescent="0.35">
      <c r="A402" s="130">
        <v>19</v>
      </c>
      <c r="B402" s="190" t="str">
        <f>IF(Exploitation!B33="","",Exploitation!B33)</f>
        <v/>
      </c>
      <c r="C402" s="191">
        <f t="shared" si="313"/>
        <v>0</v>
      </c>
      <c r="D402" s="192"/>
      <c r="E402" s="192"/>
      <c r="F402" s="192"/>
      <c r="G402" s="192"/>
      <c r="H402" s="192"/>
      <c r="I402" s="192"/>
      <c r="J402" s="192"/>
      <c r="K402" s="192"/>
      <c r="L402" s="192"/>
      <c r="M402" s="192"/>
      <c r="N402" s="192"/>
      <c r="O402" s="192"/>
      <c r="P402" s="192"/>
      <c r="Q402" s="192"/>
    </row>
    <row r="403" spans="1:17" hidden="1" x14ac:dyDescent="0.35">
      <c r="A403" s="130">
        <v>20</v>
      </c>
      <c r="B403" s="190" t="str">
        <f>IF(Exploitation!B34="","",Exploitation!B34)</f>
        <v/>
      </c>
      <c r="C403" s="191">
        <f t="shared" si="313"/>
        <v>0</v>
      </c>
      <c r="D403" s="192"/>
      <c r="E403" s="192"/>
      <c r="F403" s="192"/>
      <c r="G403" s="192"/>
      <c r="H403" s="192"/>
      <c r="I403" s="192"/>
      <c r="J403" s="192"/>
      <c r="K403" s="192"/>
      <c r="L403" s="192"/>
      <c r="M403" s="192"/>
      <c r="N403" s="192"/>
      <c r="O403" s="192"/>
      <c r="P403" s="192"/>
      <c r="Q403" s="192"/>
    </row>
    <row r="404" spans="1:17" hidden="1" x14ac:dyDescent="0.35"/>
    <row r="405" spans="1:17" hidden="1" x14ac:dyDescent="0.35">
      <c r="B405" s="193" t="s">
        <v>19</v>
      </c>
      <c r="C405" s="191">
        <f>SUM(C384:C403)</f>
        <v>0</v>
      </c>
      <c r="D405" s="117">
        <f>SUM($I$209:$J$213,V209:$W$213)</f>
        <v>0</v>
      </c>
      <c r="E405" s="117">
        <f>SUM(Q229:Q238)</f>
        <v>0</v>
      </c>
      <c r="F405" s="194">
        <f>'Données d''entrée'!$C$588</f>
        <v>0.01</v>
      </c>
      <c r="G405" s="117">
        <f>E405*F405</f>
        <v>0</v>
      </c>
      <c r="H405" s="195">
        <f>SUM(D405,G405)</f>
        <v>0</v>
      </c>
      <c r="I405" s="196">
        <f>SUM($Y$100:$Y$119)+SUM(T172:T176)+SUM(AI172:AI176)+SUM(AD209:AD213)</f>
        <v>0</v>
      </c>
      <c r="J405" s="196">
        <f>E241+E405*'Données d''entrée'!$C$596/100</f>
        <v>0</v>
      </c>
      <c r="K405" s="119">
        <f>'Données d''entrée'!$C$590</f>
        <v>0.01</v>
      </c>
      <c r="L405" s="118">
        <f>SUM(M209:M213)+SUM(Z209:Z213)+E405*'Données d''entrée'!$C$595</f>
        <v>0</v>
      </c>
      <c r="M405" s="197">
        <f>'Données d''entrée'!$C$591</f>
        <v>7.4999999999999997E-3</v>
      </c>
      <c r="N405" s="198">
        <f>(I405+J405)*K405</f>
        <v>0</v>
      </c>
      <c r="O405" s="198">
        <f>L405*M405</f>
        <v>0</v>
      </c>
      <c r="P405" s="198">
        <f>SUM(N405:O405)</f>
        <v>0</v>
      </c>
      <c r="Q405" s="198">
        <f>H405+P405</f>
        <v>0</v>
      </c>
    </row>
    <row r="406" spans="1:17" hidden="1" x14ac:dyDescent="0.35">
      <c r="D406" s="152" t="b">
        <f>SUM($N$183:$N$187,$W$183:$W$187,$K$194:$L$198,$S$194:$T$198)=D405</f>
        <v>1</v>
      </c>
    </row>
    <row r="407" spans="1:17" hidden="1" x14ac:dyDescent="0.35">
      <c r="K407" s="129"/>
      <c r="O407" s="162"/>
    </row>
    <row r="408" spans="1:17" ht="26" hidden="1" x14ac:dyDescent="0.6">
      <c r="B408" s="178" t="s">
        <v>270</v>
      </c>
      <c r="C408" s="179">
        <f>Q405</f>
        <v>0</v>
      </c>
      <c r="D408" s="149" t="s">
        <v>269</v>
      </c>
      <c r="K408" s="129"/>
      <c r="N408" s="199"/>
      <c r="O408" s="162"/>
    </row>
    <row r="409" spans="1:17" hidden="1" x14ac:dyDescent="0.35">
      <c r="M409" s="162"/>
    </row>
    <row r="410" spans="1:17" ht="26" hidden="1" x14ac:dyDescent="0.6">
      <c r="B410" s="178" t="s">
        <v>268</v>
      </c>
      <c r="C410" s="179">
        <f>IF(ISERROR(C408*44/28),0,C408*44/28)</f>
        <v>0</v>
      </c>
      <c r="D410" s="149" t="s">
        <v>271</v>
      </c>
    </row>
    <row r="411" spans="1:17" hidden="1" x14ac:dyDescent="0.35"/>
    <row r="412" spans="1:17" hidden="1" x14ac:dyDescent="0.35"/>
    <row r="413" spans="1:17" hidden="1" x14ac:dyDescent="0.35"/>
    <row r="414" spans="1:17" ht="16.899999999999999" hidden="1" customHeight="1" x14ac:dyDescent="0.35"/>
    <row r="415" spans="1:17" s="375" customFormat="1" ht="26" x14ac:dyDescent="0.6">
      <c r="A415" s="374" t="s">
        <v>743</v>
      </c>
    </row>
    <row r="418" spans="1:48" x14ac:dyDescent="0.35">
      <c r="A418" s="50" t="s">
        <v>744</v>
      </c>
    </row>
    <row r="420" spans="1:48" ht="15" customHeight="1" x14ac:dyDescent="0.35">
      <c r="B420" s="528" t="s">
        <v>46</v>
      </c>
      <c r="C420" s="530"/>
      <c r="D420" s="530"/>
      <c r="E420" s="529"/>
      <c r="F420" s="528" t="s">
        <v>47</v>
      </c>
      <c r="G420" s="530"/>
      <c r="H420" s="530"/>
      <c r="I420" s="529"/>
      <c r="J420" s="528" t="s">
        <v>51</v>
      </c>
      <c r="K420" s="530"/>
      <c r="L420" s="530"/>
      <c r="M420" s="529"/>
      <c r="N420" s="531" t="s">
        <v>124</v>
      </c>
      <c r="O420" s="532"/>
      <c r="P420" s="532"/>
      <c r="Q420" s="533"/>
      <c r="R420" s="531" t="s">
        <v>49</v>
      </c>
      <c r="S420" s="532"/>
      <c r="T420" s="532"/>
      <c r="U420" s="533"/>
      <c r="V420" s="531" t="s">
        <v>48</v>
      </c>
      <c r="W420" s="532"/>
      <c r="X420" s="532"/>
      <c r="Y420" s="533"/>
      <c r="Z420" s="531" t="s">
        <v>52</v>
      </c>
      <c r="AA420" s="532"/>
      <c r="AB420" s="532"/>
      <c r="AC420" s="533"/>
      <c r="AE420" s="528" t="s">
        <v>46</v>
      </c>
      <c r="AF420" s="529"/>
      <c r="AG420" s="528" t="s">
        <v>47</v>
      </c>
      <c r="AH420" s="529"/>
      <c r="AI420" s="528" t="s">
        <v>51</v>
      </c>
      <c r="AJ420" s="529"/>
      <c r="AK420" s="528" t="s">
        <v>124</v>
      </c>
      <c r="AL420" s="529"/>
      <c r="AM420" s="528" t="s">
        <v>49</v>
      </c>
      <c r="AN420" s="529"/>
      <c r="AO420" s="528" t="s">
        <v>48</v>
      </c>
      <c r="AP420" s="529"/>
      <c r="AQ420" s="528" t="s">
        <v>52</v>
      </c>
      <c r="AR420" s="529"/>
      <c r="AS420" s="517" t="s">
        <v>16</v>
      </c>
      <c r="AT420" s="518"/>
      <c r="AU420" s="519"/>
    </row>
    <row r="421" spans="1:48" ht="58" x14ac:dyDescent="0.35">
      <c r="B421" s="388" t="s">
        <v>196</v>
      </c>
      <c r="C421" s="388" t="s">
        <v>197</v>
      </c>
      <c r="D421" s="365" t="s">
        <v>172</v>
      </c>
      <c r="E421" s="365" t="s">
        <v>173</v>
      </c>
      <c r="F421" s="389" t="s">
        <v>73</v>
      </c>
      <c r="G421" s="389" t="s">
        <v>183</v>
      </c>
      <c r="H421" s="365" t="s">
        <v>172</v>
      </c>
      <c r="I421" s="365" t="s">
        <v>173</v>
      </c>
      <c r="J421" s="389" t="s">
        <v>73</v>
      </c>
      <c r="K421" s="389" t="s">
        <v>183</v>
      </c>
      <c r="L421" s="365" t="s">
        <v>172</v>
      </c>
      <c r="M421" s="365" t="s">
        <v>173</v>
      </c>
      <c r="N421" s="389" t="s">
        <v>73</v>
      </c>
      <c r="O421" s="389" t="s">
        <v>183</v>
      </c>
      <c r="P421" s="365" t="s">
        <v>172</v>
      </c>
      <c r="Q421" s="365" t="s">
        <v>173</v>
      </c>
      <c r="R421" s="388" t="s">
        <v>73</v>
      </c>
      <c r="S421" s="389" t="s">
        <v>183</v>
      </c>
      <c r="T421" s="365" t="s">
        <v>172</v>
      </c>
      <c r="U421" s="365" t="s">
        <v>173</v>
      </c>
      <c r="V421" s="388" t="s">
        <v>73</v>
      </c>
      <c r="W421" s="389" t="s">
        <v>183</v>
      </c>
      <c r="X421" s="365" t="s">
        <v>172</v>
      </c>
      <c r="Y421" s="365" t="s">
        <v>173</v>
      </c>
      <c r="Z421" s="388" t="s">
        <v>73</v>
      </c>
      <c r="AA421" s="389" t="s">
        <v>183</v>
      </c>
      <c r="AB421" s="365" t="s">
        <v>172</v>
      </c>
      <c r="AC421" s="365" t="s">
        <v>173</v>
      </c>
      <c r="AE421" s="365" t="s">
        <v>177</v>
      </c>
      <c r="AF421" s="365" t="s">
        <v>178</v>
      </c>
      <c r="AG421" s="365" t="s">
        <v>177</v>
      </c>
      <c r="AH421" s="365" t="s">
        <v>178</v>
      </c>
      <c r="AI421" s="365" t="s">
        <v>177</v>
      </c>
      <c r="AJ421" s="365" t="s">
        <v>178</v>
      </c>
      <c r="AK421" s="365" t="s">
        <v>177</v>
      </c>
      <c r="AL421" s="365" t="s">
        <v>178</v>
      </c>
      <c r="AM421" s="365" t="s">
        <v>177</v>
      </c>
      <c r="AN421" s="365" t="s">
        <v>178</v>
      </c>
      <c r="AO421" s="365" t="s">
        <v>177</v>
      </c>
      <c r="AP421" s="365" t="s">
        <v>178</v>
      </c>
      <c r="AQ421" s="365" t="s">
        <v>177</v>
      </c>
      <c r="AR421" s="365" t="s">
        <v>178</v>
      </c>
      <c r="AS421" s="364" t="s">
        <v>174</v>
      </c>
      <c r="AT421" s="364" t="s">
        <v>175</v>
      </c>
      <c r="AU421" s="364" t="s">
        <v>176</v>
      </c>
      <c r="AV421"/>
    </row>
    <row r="422" spans="1:48" x14ac:dyDescent="0.35">
      <c r="A422" s="130">
        <v>1</v>
      </c>
      <c r="B422" s="373">
        <f>IF(ISERROR(C48*$C$40*$D75),0,C48*$C$40*$D75)</f>
        <v>0</v>
      </c>
      <c r="C422" s="373">
        <f>IF(ISERROR(C48*$C$40*$E75),0,C48*$C$40*$E75)</f>
        <v>0</v>
      </c>
      <c r="D422" s="373">
        <f t="shared" ref="D422:AC431" si="314">L75</f>
        <v>0.27</v>
      </c>
      <c r="E422" s="373">
        <f t="shared" si="314"/>
        <v>0.28000000000000003</v>
      </c>
      <c r="F422" s="373">
        <f>IF(ISERROR(D48*$D$40*$D75),0,D48*$D$40*$D75)</f>
        <v>0</v>
      </c>
      <c r="G422" s="373">
        <f>IF(ISERROR(D48*$D$40*$E75),0,D48*$D$40*$E75)</f>
        <v>0</v>
      </c>
      <c r="H422" s="373">
        <f t="shared" si="314"/>
        <v>0.27</v>
      </c>
      <c r="I422" s="373">
        <f t="shared" si="314"/>
        <v>0.28000000000000003</v>
      </c>
      <c r="J422" s="373">
        <f>IF(ISERROR(E48*$E$40*$D75),0,E48*$E$40*$D75)</f>
        <v>0</v>
      </c>
      <c r="K422" s="373">
        <f>IF(ISERROR(E48*$E$40*$E75),0,E48*$E$40*$E75)</f>
        <v>0</v>
      </c>
      <c r="L422" s="373">
        <f t="shared" si="314"/>
        <v>0.27</v>
      </c>
      <c r="M422" s="373">
        <f t="shared" si="314"/>
        <v>0.28000000000000003</v>
      </c>
      <c r="N422" s="373">
        <f>IF(ISERROR(F48*$F$40*$D75),0,F48*$F$40*$D75)</f>
        <v>0</v>
      </c>
      <c r="O422" s="373">
        <f>IF(ISERROR(F48*$F$40*$E75),0,F48*$F$40*$E75)</f>
        <v>0</v>
      </c>
      <c r="P422" s="373">
        <f t="shared" si="314"/>
        <v>0.25</v>
      </c>
      <c r="Q422" s="373">
        <f t="shared" si="314"/>
        <v>0.22</v>
      </c>
      <c r="R422" s="373">
        <f>IF(ISERROR(G48*$G$40*$D75),0,G48*$G$40*$D75)</f>
        <v>0</v>
      </c>
      <c r="S422" s="373">
        <f>IF(ISERROR(G48*$G$40*$E75),0,G48*$G$40*$E75)</f>
        <v>0</v>
      </c>
      <c r="T422" s="373">
        <f t="shared" si="314"/>
        <v>0.25</v>
      </c>
      <c r="U422" s="373">
        <f t="shared" si="314"/>
        <v>0.22</v>
      </c>
      <c r="V422" s="373">
        <f>IF(ISERROR(H48*$H$40*$D75),0,H48*$H$40*$D75)</f>
        <v>0</v>
      </c>
      <c r="W422" s="373">
        <f>IF(ISERROR(H48*$H$40*$E75),0,H48*$H$40*$E75)</f>
        <v>0</v>
      </c>
      <c r="X422" s="373">
        <f t="shared" si="314"/>
        <v>0.25</v>
      </c>
      <c r="Y422" s="373">
        <f t="shared" si="314"/>
        <v>0.22</v>
      </c>
      <c r="Z422" s="373">
        <f>IF(ISERROR(I48*$I$40*$D75),0,I48*$I$40*$D75)</f>
        <v>0</v>
      </c>
      <c r="AA422" s="373">
        <f>IF(ISERROR(I48*$I$40*$E75),0,I48*$I$40*$E75)</f>
        <v>0</v>
      </c>
      <c r="AB422" s="373">
        <f t="shared" si="314"/>
        <v>0.25</v>
      </c>
      <c r="AC422" s="373">
        <f t="shared" si="314"/>
        <v>0.22</v>
      </c>
      <c r="AE422" s="373">
        <f>B422*D422</f>
        <v>0</v>
      </c>
      <c r="AF422" s="373">
        <f>C422*E422</f>
        <v>0</v>
      </c>
      <c r="AG422" s="373">
        <f>F422*H422</f>
        <v>0</v>
      </c>
      <c r="AH422" s="373">
        <f>G422*I422</f>
        <v>0</v>
      </c>
      <c r="AI422" s="373">
        <f>J422*L422</f>
        <v>0</v>
      </c>
      <c r="AJ422" s="373">
        <f>K422*M422</f>
        <v>0</v>
      </c>
      <c r="AK422" s="373">
        <f>N422*P422</f>
        <v>0</v>
      </c>
      <c r="AL422" s="373">
        <f>O422*Q422</f>
        <v>0</v>
      </c>
      <c r="AM422" s="373">
        <f>R422*T422</f>
        <v>0</v>
      </c>
      <c r="AN422" s="373">
        <f>S422*U422</f>
        <v>0</v>
      </c>
      <c r="AO422" s="373">
        <f>V422*X422</f>
        <v>0</v>
      </c>
      <c r="AP422" s="373">
        <f>W422*Y422</f>
        <v>0</v>
      </c>
      <c r="AQ422" s="373">
        <f>Z422*AB422</f>
        <v>0</v>
      </c>
      <c r="AR422" s="373">
        <f>AA422*AC422</f>
        <v>0</v>
      </c>
      <c r="AS422" s="373">
        <f>AE422+AG422+AI422+AK422+AM422+AO422+AQ422</f>
        <v>0</v>
      </c>
      <c r="AT422" s="373">
        <f>AF422+AH422+AJ422+AL422+AN422+AP422+AR422</f>
        <v>0</v>
      </c>
      <c r="AU422" s="373">
        <f>AS422+AT422</f>
        <v>0</v>
      </c>
      <c r="AV422"/>
    </row>
    <row r="423" spans="1:48" x14ac:dyDescent="0.35">
      <c r="A423" s="130">
        <v>2</v>
      </c>
      <c r="B423" s="373">
        <f t="shared" ref="B423:B441" si="315">IF(ISERROR(C49*$C$40*$D76),0,C49*$C$40*$D76)</f>
        <v>0</v>
      </c>
      <c r="C423" s="373">
        <f t="shared" ref="C423:C441" si="316">IF(ISERROR(C49*$C$40*$E76),0,C49*$C$40*$E76)</f>
        <v>0</v>
      </c>
      <c r="D423" s="373">
        <f t="shared" si="314"/>
        <v>0.27</v>
      </c>
      <c r="E423" s="373">
        <f t="shared" si="314"/>
        <v>0.28000000000000003</v>
      </c>
      <c r="F423" s="373">
        <f t="shared" ref="F423:F441" si="317">IF(ISERROR(D49*$D$40*$D76),0,D49*$D$40*$D76)</f>
        <v>0</v>
      </c>
      <c r="G423" s="373">
        <f t="shared" ref="G423:G441" si="318">IF(ISERROR(D49*$D$40*$E76),0,D49*$D$40*$E76)</f>
        <v>0</v>
      </c>
      <c r="H423" s="373">
        <f t="shared" si="314"/>
        <v>0.27</v>
      </c>
      <c r="I423" s="373">
        <f t="shared" si="314"/>
        <v>0.28000000000000003</v>
      </c>
      <c r="J423" s="373">
        <f t="shared" ref="J423:J441" si="319">IF(ISERROR(E49*$E$40*$D76),0,E49*$E$40*$D76)</f>
        <v>0</v>
      </c>
      <c r="K423" s="373">
        <f t="shared" ref="K423:K441" si="320">IF(ISERROR(E49*$E$40*$E76),0,E49*$E$40*$E76)</f>
        <v>0</v>
      </c>
      <c r="L423" s="373">
        <f t="shared" si="314"/>
        <v>0.27</v>
      </c>
      <c r="M423" s="373">
        <f t="shared" si="314"/>
        <v>0.28000000000000003</v>
      </c>
      <c r="N423" s="373">
        <f t="shared" ref="N423:N441" si="321">IF(ISERROR(F49*$F$40*$D76),0,F49*$F$40*$D76)</f>
        <v>0</v>
      </c>
      <c r="O423" s="373">
        <f t="shared" ref="O423:O441" si="322">IF(ISERROR(F49*$F$40*$E76),0,F49*$F$40*$E76)</f>
        <v>0</v>
      </c>
      <c r="P423" s="373">
        <f t="shared" si="314"/>
        <v>0.25</v>
      </c>
      <c r="Q423" s="373">
        <f t="shared" si="314"/>
        <v>0.22</v>
      </c>
      <c r="R423" s="373">
        <f t="shared" ref="R423:R441" si="323">IF(ISERROR(G49*$G$40*$D76),0,G49*$G$40*$D76)</f>
        <v>0</v>
      </c>
      <c r="S423" s="373">
        <f t="shared" ref="S423:S441" si="324">IF(ISERROR(G49*$G$40*$E76),0,G49*$G$40*$E76)</f>
        <v>0</v>
      </c>
      <c r="T423" s="373">
        <f t="shared" si="314"/>
        <v>0.25</v>
      </c>
      <c r="U423" s="373">
        <f t="shared" si="314"/>
        <v>0.22</v>
      </c>
      <c r="V423" s="373">
        <f t="shared" ref="V423:V441" si="325">IF(ISERROR(H49*$H$40*$D76),0,H49*$H$40*$D76)</f>
        <v>0</v>
      </c>
      <c r="W423" s="373">
        <f t="shared" ref="W423:W441" si="326">IF(ISERROR(H49*$H$40*$E76),0,H49*$H$40*$E76)</f>
        <v>0</v>
      </c>
      <c r="X423" s="373">
        <f t="shared" si="314"/>
        <v>0.25</v>
      </c>
      <c r="Y423" s="373">
        <f t="shared" si="314"/>
        <v>0.22</v>
      </c>
      <c r="Z423" s="373">
        <f t="shared" ref="Z423:Z441" si="327">IF(ISERROR(I49*$I$40*$D76),0,I49*$I$40*$D76)</f>
        <v>0</v>
      </c>
      <c r="AA423" s="373">
        <f t="shared" ref="AA423:AA441" si="328">IF(ISERROR(I49*$I$40*$E76),0,I49*$I$40*$E76)</f>
        <v>0</v>
      </c>
      <c r="AB423" s="373">
        <f t="shared" si="314"/>
        <v>0.25</v>
      </c>
      <c r="AC423" s="373">
        <f t="shared" si="314"/>
        <v>0.22</v>
      </c>
      <c r="AE423" s="373">
        <f t="shared" ref="AE423:AE441" si="329">B423*D423</f>
        <v>0</v>
      </c>
      <c r="AF423" s="373">
        <f t="shared" ref="AF423:AF437" si="330">C423*E423</f>
        <v>0</v>
      </c>
      <c r="AG423" s="373">
        <f t="shared" ref="AG423:AH441" si="331">F423*H423</f>
        <v>0</v>
      </c>
      <c r="AH423" s="373">
        <f t="shared" si="331"/>
        <v>0</v>
      </c>
      <c r="AI423" s="373">
        <f t="shared" ref="AI423:AJ441" si="332">J423*L423</f>
        <v>0</v>
      </c>
      <c r="AJ423" s="373">
        <f t="shared" si="332"/>
        <v>0</v>
      </c>
      <c r="AK423" s="373">
        <f t="shared" ref="AK423:AL441" si="333">N423*P423</f>
        <v>0</v>
      </c>
      <c r="AL423" s="373">
        <f t="shared" si="333"/>
        <v>0</v>
      </c>
      <c r="AM423" s="373">
        <f t="shared" ref="AM423:AM441" si="334">R423*T423</f>
        <v>0</v>
      </c>
      <c r="AN423" s="373">
        <f t="shared" ref="AN423:AN441" si="335">S423*U423</f>
        <v>0</v>
      </c>
      <c r="AO423" s="373">
        <f t="shared" ref="AO423:AP441" si="336">V423*X423</f>
        <v>0</v>
      </c>
      <c r="AP423" s="373">
        <f t="shared" si="336"/>
        <v>0</v>
      </c>
      <c r="AQ423" s="373">
        <f t="shared" ref="AQ423:AR441" si="337">Z423*AB423</f>
        <v>0</v>
      </c>
      <c r="AR423" s="373">
        <f t="shared" si="337"/>
        <v>0</v>
      </c>
      <c r="AS423" s="373">
        <f t="shared" ref="AS423:AT441" si="338">AE423+AG423+AI423+AK423+AM423+AO423+AQ423</f>
        <v>0</v>
      </c>
      <c r="AT423" s="373">
        <f t="shared" si="338"/>
        <v>0</v>
      </c>
      <c r="AU423" s="373">
        <f t="shared" ref="AU423:AU441" si="339">AS423+AT423</f>
        <v>0</v>
      </c>
      <c r="AV423"/>
    </row>
    <row r="424" spans="1:48" x14ac:dyDescent="0.35">
      <c r="A424" s="130">
        <v>3</v>
      </c>
      <c r="B424" s="373">
        <f t="shared" si="315"/>
        <v>0</v>
      </c>
      <c r="C424" s="373">
        <f t="shared" si="316"/>
        <v>0</v>
      </c>
      <c r="D424" s="373">
        <f t="shared" si="314"/>
        <v>0.27</v>
      </c>
      <c r="E424" s="373">
        <f t="shared" si="314"/>
        <v>0.28000000000000003</v>
      </c>
      <c r="F424" s="373">
        <f t="shared" si="317"/>
        <v>0</v>
      </c>
      <c r="G424" s="373">
        <f t="shared" si="318"/>
        <v>0</v>
      </c>
      <c r="H424" s="373">
        <f t="shared" si="314"/>
        <v>0.27</v>
      </c>
      <c r="I424" s="373">
        <f t="shared" si="314"/>
        <v>0.28000000000000003</v>
      </c>
      <c r="J424" s="373">
        <f t="shared" si="319"/>
        <v>0</v>
      </c>
      <c r="K424" s="373">
        <f t="shared" si="320"/>
        <v>0</v>
      </c>
      <c r="L424" s="373">
        <f t="shared" si="314"/>
        <v>0.27</v>
      </c>
      <c r="M424" s="373">
        <f t="shared" si="314"/>
        <v>0.28000000000000003</v>
      </c>
      <c r="N424" s="373">
        <f t="shared" si="321"/>
        <v>0</v>
      </c>
      <c r="O424" s="373">
        <f t="shared" si="322"/>
        <v>0</v>
      </c>
      <c r="P424" s="373">
        <f t="shared" si="314"/>
        <v>0.25</v>
      </c>
      <c r="Q424" s="373">
        <f t="shared" si="314"/>
        <v>0.22</v>
      </c>
      <c r="R424" s="373">
        <f t="shared" si="323"/>
        <v>0</v>
      </c>
      <c r="S424" s="373">
        <f t="shared" si="324"/>
        <v>0</v>
      </c>
      <c r="T424" s="373">
        <f t="shared" si="314"/>
        <v>0.25</v>
      </c>
      <c r="U424" s="373">
        <f t="shared" si="314"/>
        <v>0.22</v>
      </c>
      <c r="V424" s="373">
        <f t="shared" si="325"/>
        <v>0</v>
      </c>
      <c r="W424" s="373">
        <f t="shared" si="326"/>
        <v>0</v>
      </c>
      <c r="X424" s="373">
        <f t="shared" si="314"/>
        <v>0.25</v>
      </c>
      <c r="Y424" s="373">
        <f t="shared" si="314"/>
        <v>0.22</v>
      </c>
      <c r="Z424" s="373">
        <f t="shared" si="327"/>
        <v>0</v>
      </c>
      <c r="AA424" s="373">
        <f t="shared" si="328"/>
        <v>0</v>
      </c>
      <c r="AB424" s="373">
        <f t="shared" si="314"/>
        <v>0.25</v>
      </c>
      <c r="AC424" s="373">
        <f t="shared" si="314"/>
        <v>0.22</v>
      </c>
      <c r="AE424" s="373">
        <f t="shared" si="329"/>
        <v>0</v>
      </c>
      <c r="AF424" s="373">
        <f t="shared" si="330"/>
        <v>0</v>
      </c>
      <c r="AG424" s="373">
        <f t="shared" si="331"/>
        <v>0</v>
      </c>
      <c r="AH424" s="373">
        <f t="shared" si="331"/>
        <v>0</v>
      </c>
      <c r="AI424" s="373">
        <f t="shared" si="332"/>
        <v>0</v>
      </c>
      <c r="AJ424" s="373">
        <f t="shared" si="332"/>
        <v>0</v>
      </c>
      <c r="AK424" s="373">
        <f t="shared" si="333"/>
        <v>0</v>
      </c>
      <c r="AL424" s="373">
        <f t="shared" si="333"/>
        <v>0</v>
      </c>
      <c r="AM424" s="373">
        <f t="shared" si="334"/>
        <v>0</v>
      </c>
      <c r="AN424" s="373">
        <f t="shared" si="335"/>
        <v>0</v>
      </c>
      <c r="AO424" s="373">
        <f t="shared" si="336"/>
        <v>0</v>
      </c>
      <c r="AP424" s="373">
        <f t="shared" si="336"/>
        <v>0</v>
      </c>
      <c r="AQ424" s="373">
        <f t="shared" si="337"/>
        <v>0</v>
      </c>
      <c r="AR424" s="373">
        <f t="shared" si="337"/>
        <v>0</v>
      </c>
      <c r="AS424" s="373">
        <f t="shared" si="338"/>
        <v>0</v>
      </c>
      <c r="AT424" s="373">
        <f t="shared" si="338"/>
        <v>0</v>
      </c>
      <c r="AU424" s="373">
        <f t="shared" si="339"/>
        <v>0</v>
      </c>
      <c r="AV424"/>
    </row>
    <row r="425" spans="1:48" x14ac:dyDescent="0.35">
      <c r="A425" s="130">
        <v>4</v>
      </c>
      <c r="B425" s="373">
        <f t="shared" si="315"/>
        <v>0</v>
      </c>
      <c r="C425" s="373">
        <f t="shared" si="316"/>
        <v>0</v>
      </c>
      <c r="D425" s="373">
        <f t="shared" si="314"/>
        <v>0.27</v>
      </c>
      <c r="E425" s="373">
        <f t="shared" si="314"/>
        <v>0.28000000000000003</v>
      </c>
      <c r="F425" s="373">
        <f t="shared" si="317"/>
        <v>0</v>
      </c>
      <c r="G425" s="373">
        <f t="shared" si="318"/>
        <v>0</v>
      </c>
      <c r="H425" s="373">
        <f t="shared" si="314"/>
        <v>0.27</v>
      </c>
      <c r="I425" s="373">
        <f t="shared" si="314"/>
        <v>0.28000000000000003</v>
      </c>
      <c r="J425" s="373">
        <f t="shared" si="319"/>
        <v>0</v>
      </c>
      <c r="K425" s="373">
        <f t="shared" si="320"/>
        <v>0</v>
      </c>
      <c r="L425" s="373">
        <f t="shared" si="314"/>
        <v>0.27</v>
      </c>
      <c r="M425" s="373">
        <f t="shared" si="314"/>
        <v>0.28000000000000003</v>
      </c>
      <c r="N425" s="373">
        <f t="shared" si="321"/>
        <v>0</v>
      </c>
      <c r="O425" s="373">
        <f t="shared" si="322"/>
        <v>0</v>
      </c>
      <c r="P425" s="373">
        <f t="shared" si="314"/>
        <v>0.25</v>
      </c>
      <c r="Q425" s="373">
        <f t="shared" si="314"/>
        <v>0.22</v>
      </c>
      <c r="R425" s="373">
        <f t="shared" si="323"/>
        <v>0</v>
      </c>
      <c r="S425" s="373">
        <f t="shared" si="324"/>
        <v>0</v>
      </c>
      <c r="T425" s="373">
        <f t="shared" si="314"/>
        <v>0.25</v>
      </c>
      <c r="U425" s="373">
        <f t="shared" si="314"/>
        <v>0.22</v>
      </c>
      <c r="V425" s="373">
        <f t="shared" si="325"/>
        <v>0</v>
      </c>
      <c r="W425" s="373">
        <f t="shared" si="326"/>
        <v>0</v>
      </c>
      <c r="X425" s="373">
        <f t="shared" si="314"/>
        <v>0.25</v>
      </c>
      <c r="Y425" s="373">
        <f t="shared" si="314"/>
        <v>0.22</v>
      </c>
      <c r="Z425" s="373">
        <f t="shared" si="327"/>
        <v>0</v>
      </c>
      <c r="AA425" s="373">
        <f t="shared" si="328"/>
        <v>0</v>
      </c>
      <c r="AB425" s="373">
        <f t="shared" si="314"/>
        <v>0.25</v>
      </c>
      <c r="AC425" s="373">
        <f t="shared" si="314"/>
        <v>0.22</v>
      </c>
      <c r="AE425" s="373">
        <f t="shared" si="329"/>
        <v>0</v>
      </c>
      <c r="AF425" s="373">
        <f t="shared" si="330"/>
        <v>0</v>
      </c>
      <c r="AG425" s="373">
        <f t="shared" si="331"/>
        <v>0</v>
      </c>
      <c r="AH425" s="373">
        <f t="shared" si="331"/>
        <v>0</v>
      </c>
      <c r="AI425" s="373">
        <f t="shared" si="332"/>
        <v>0</v>
      </c>
      <c r="AJ425" s="373">
        <f t="shared" si="332"/>
        <v>0</v>
      </c>
      <c r="AK425" s="373">
        <f t="shared" si="333"/>
        <v>0</v>
      </c>
      <c r="AL425" s="373">
        <f t="shared" si="333"/>
        <v>0</v>
      </c>
      <c r="AM425" s="373">
        <f t="shared" si="334"/>
        <v>0</v>
      </c>
      <c r="AN425" s="373">
        <f t="shared" si="335"/>
        <v>0</v>
      </c>
      <c r="AO425" s="373">
        <f t="shared" si="336"/>
        <v>0</v>
      </c>
      <c r="AP425" s="373">
        <f t="shared" si="336"/>
        <v>0</v>
      </c>
      <c r="AQ425" s="373">
        <f t="shared" si="337"/>
        <v>0</v>
      </c>
      <c r="AR425" s="373">
        <f t="shared" si="337"/>
        <v>0</v>
      </c>
      <c r="AS425" s="373">
        <f t="shared" si="338"/>
        <v>0</v>
      </c>
      <c r="AT425" s="373">
        <f t="shared" si="338"/>
        <v>0</v>
      </c>
      <c r="AU425" s="373">
        <f t="shared" si="339"/>
        <v>0</v>
      </c>
      <c r="AV425"/>
    </row>
    <row r="426" spans="1:48" x14ac:dyDescent="0.35">
      <c r="A426" s="130">
        <v>5</v>
      </c>
      <c r="B426" s="373">
        <f t="shared" si="315"/>
        <v>0</v>
      </c>
      <c r="C426" s="373">
        <f t="shared" si="316"/>
        <v>0</v>
      </c>
      <c r="D426" s="373">
        <f t="shared" si="314"/>
        <v>0.27</v>
      </c>
      <c r="E426" s="373">
        <f t="shared" si="314"/>
        <v>0.28000000000000003</v>
      </c>
      <c r="F426" s="373">
        <f t="shared" si="317"/>
        <v>0</v>
      </c>
      <c r="G426" s="373">
        <f t="shared" si="318"/>
        <v>0</v>
      </c>
      <c r="H426" s="373">
        <f t="shared" si="314"/>
        <v>0.27</v>
      </c>
      <c r="I426" s="373">
        <f t="shared" si="314"/>
        <v>0.28000000000000003</v>
      </c>
      <c r="J426" s="373">
        <f t="shared" si="319"/>
        <v>0</v>
      </c>
      <c r="K426" s="373">
        <f t="shared" si="320"/>
        <v>0</v>
      </c>
      <c r="L426" s="373">
        <f t="shared" si="314"/>
        <v>0.27</v>
      </c>
      <c r="M426" s="373">
        <f t="shared" si="314"/>
        <v>0.28000000000000003</v>
      </c>
      <c r="N426" s="373">
        <f t="shared" si="321"/>
        <v>0</v>
      </c>
      <c r="O426" s="373">
        <f t="shared" si="322"/>
        <v>0</v>
      </c>
      <c r="P426" s="373">
        <f t="shared" si="314"/>
        <v>0.25</v>
      </c>
      <c r="Q426" s="373">
        <f t="shared" si="314"/>
        <v>0.22</v>
      </c>
      <c r="R426" s="373">
        <f t="shared" si="323"/>
        <v>0</v>
      </c>
      <c r="S426" s="373">
        <f t="shared" si="324"/>
        <v>0</v>
      </c>
      <c r="T426" s="373">
        <f t="shared" si="314"/>
        <v>0.25</v>
      </c>
      <c r="U426" s="373">
        <f t="shared" si="314"/>
        <v>0.22</v>
      </c>
      <c r="V426" s="373">
        <f t="shared" si="325"/>
        <v>0</v>
      </c>
      <c r="W426" s="373">
        <f t="shared" si="326"/>
        <v>0</v>
      </c>
      <c r="X426" s="373">
        <f t="shared" si="314"/>
        <v>0.25</v>
      </c>
      <c r="Y426" s="373">
        <f t="shared" si="314"/>
        <v>0.22</v>
      </c>
      <c r="Z426" s="373">
        <f t="shared" si="327"/>
        <v>0</v>
      </c>
      <c r="AA426" s="373">
        <f t="shared" si="328"/>
        <v>0</v>
      </c>
      <c r="AB426" s="373">
        <f t="shared" si="314"/>
        <v>0.25</v>
      </c>
      <c r="AC426" s="373">
        <f t="shared" si="314"/>
        <v>0.22</v>
      </c>
      <c r="AE426" s="373">
        <f t="shared" si="329"/>
        <v>0</v>
      </c>
      <c r="AF426" s="373">
        <f t="shared" si="330"/>
        <v>0</v>
      </c>
      <c r="AG426" s="373">
        <f t="shared" si="331"/>
        <v>0</v>
      </c>
      <c r="AH426" s="373">
        <f t="shared" si="331"/>
        <v>0</v>
      </c>
      <c r="AI426" s="373">
        <f t="shared" si="332"/>
        <v>0</v>
      </c>
      <c r="AJ426" s="373">
        <f t="shared" si="332"/>
        <v>0</v>
      </c>
      <c r="AK426" s="373">
        <f t="shared" si="333"/>
        <v>0</v>
      </c>
      <c r="AL426" s="373">
        <f t="shared" si="333"/>
        <v>0</v>
      </c>
      <c r="AM426" s="373">
        <f t="shared" si="334"/>
        <v>0</v>
      </c>
      <c r="AN426" s="373">
        <f t="shared" si="335"/>
        <v>0</v>
      </c>
      <c r="AO426" s="373">
        <f t="shared" si="336"/>
        <v>0</v>
      </c>
      <c r="AP426" s="373">
        <f t="shared" si="336"/>
        <v>0</v>
      </c>
      <c r="AQ426" s="373">
        <f t="shared" si="337"/>
        <v>0</v>
      </c>
      <c r="AR426" s="373">
        <f t="shared" si="337"/>
        <v>0</v>
      </c>
      <c r="AS426" s="373">
        <f t="shared" si="338"/>
        <v>0</v>
      </c>
      <c r="AT426" s="373">
        <f t="shared" si="338"/>
        <v>0</v>
      </c>
      <c r="AU426" s="373">
        <f t="shared" si="339"/>
        <v>0</v>
      </c>
      <c r="AV426"/>
    </row>
    <row r="427" spans="1:48" x14ac:dyDescent="0.35">
      <c r="A427" s="130">
        <v>6</v>
      </c>
      <c r="B427" s="373">
        <f t="shared" si="315"/>
        <v>0</v>
      </c>
      <c r="C427" s="373">
        <f t="shared" si="316"/>
        <v>0</v>
      </c>
      <c r="D427" s="373">
        <f t="shared" si="314"/>
        <v>0.27</v>
      </c>
      <c r="E427" s="373">
        <f t="shared" si="314"/>
        <v>0.28000000000000003</v>
      </c>
      <c r="F427" s="373">
        <f t="shared" si="317"/>
        <v>0</v>
      </c>
      <c r="G427" s="373">
        <f t="shared" si="318"/>
        <v>0</v>
      </c>
      <c r="H427" s="373">
        <f t="shared" si="314"/>
        <v>0.27</v>
      </c>
      <c r="I427" s="373">
        <f t="shared" si="314"/>
        <v>0.28000000000000003</v>
      </c>
      <c r="J427" s="373">
        <f t="shared" si="319"/>
        <v>0</v>
      </c>
      <c r="K427" s="373">
        <f t="shared" si="320"/>
        <v>0</v>
      </c>
      <c r="L427" s="373">
        <f t="shared" si="314"/>
        <v>0.27</v>
      </c>
      <c r="M427" s="373">
        <f t="shared" si="314"/>
        <v>0.28000000000000003</v>
      </c>
      <c r="N427" s="373">
        <f t="shared" si="321"/>
        <v>0</v>
      </c>
      <c r="O427" s="373">
        <f t="shared" si="322"/>
        <v>0</v>
      </c>
      <c r="P427" s="373">
        <f t="shared" si="314"/>
        <v>0.25</v>
      </c>
      <c r="Q427" s="373">
        <f t="shared" si="314"/>
        <v>0.22</v>
      </c>
      <c r="R427" s="373">
        <f t="shared" si="323"/>
        <v>0</v>
      </c>
      <c r="S427" s="373">
        <f t="shared" si="324"/>
        <v>0</v>
      </c>
      <c r="T427" s="373">
        <f t="shared" si="314"/>
        <v>0.25</v>
      </c>
      <c r="U427" s="373">
        <f t="shared" si="314"/>
        <v>0.22</v>
      </c>
      <c r="V427" s="373">
        <f t="shared" si="325"/>
        <v>0</v>
      </c>
      <c r="W427" s="373">
        <f t="shared" si="326"/>
        <v>0</v>
      </c>
      <c r="X427" s="373">
        <f t="shared" si="314"/>
        <v>0.25</v>
      </c>
      <c r="Y427" s="373">
        <f t="shared" si="314"/>
        <v>0.22</v>
      </c>
      <c r="Z427" s="373">
        <f t="shared" si="327"/>
        <v>0</v>
      </c>
      <c r="AA427" s="373">
        <f t="shared" si="328"/>
        <v>0</v>
      </c>
      <c r="AB427" s="373">
        <f t="shared" si="314"/>
        <v>0.25</v>
      </c>
      <c r="AC427" s="373">
        <f t="shared" si="314"/>
        <v>0.22</v>
      </c>
      <c r="AE427" s="373">
        <f t="shared" si="329"/>
        <v>0</v>
      </c>
      <c r="AF427" s="373">
        <f t="shared" si="330"/>
        <v>0</v>
      </c>
      <c r="AG427" s="373">
        <f t="shared" si="331"/>
        <v>0</v>
      </c>
      <c r="AH427" s="373">
        <f t="shared" si="331"/>
        <v>0</v>
      </c>
      <c r="AI427" s="373">
        <f t="shared" si="332"/>
        <v>0</v>
      </c>
      <c r="AJ427" s="373">
        <f t="shared" si="332"/>
        <v>0</v>
      </c>
      <c r="AK427" s="373">
        <f t="shared" si="333"/>
        <v>0</v>
      </c>
      <c r="AL427" s="373">
        <f t="shared" si="333"/>
        <v>0</v>
      </c>
      <c r="AM427" s="373">
        <f t="shared" si="334"/>
        <v>0</v>
      </c>
      <c r="AN427" s="373">
        <f t="shared" si="335"/>
        <v>0</v>
      </c>
      <c r="AO427" s="373">
        <f t="shared" si="336"/>
        <v>0</v>
      </c>
      <c r="AP427" s="373">
        <f t="shared" si="336"/>
        <v>0</v>
      </c>
      <c r="AQ427" s="373">
        <f t="shared" si="337"/>
        <v>0</v>
      </c>
      <c r="AR427" s="373">
        <f t="shared" si="337"/>
        <v>0</v>
      </c>
      <c r="AS427" s="373">
        <f t="shared" si="338"/>
        <v>0</v>
      </c>
      <c r="AT427" s="373">
        <f t="shared" si="338"/>
        <v>0</v>
      </c>
      <c r="AU427" s="373">
        <f t="shared" si="339"/>
        <v>0</v>
      </c>
      <c r="AV427"/>
    </row>
    <row r="428" spans="1:48" x14ac:dyDescent="0.35">
      <c r="A428" s="130">
        <v>7</v>
      </c>
      <c r="B428" s="373">
        <f t="shared" si="315"/>
        <v>0</v>
      </c>
      <c r="C428" s="373">
        <f t="shared" si="316"/>
        <v>0</v>
      </c>
      <c r="D428" s="373">
        <f t="shared" si="314"/>
        <v>0.27</v>
      </c>
      <c r="E428" s="373">
        <f t="shared" si="314"/>
        <v>0.28000000000000003</v>
      </c>
      <c r="F428" s="373">
        <f t="shared" si="317"/>
        <v>0</v>
      </c>
      <c r="G428" s="373">
        <f t="shared" si="318"/>
        <v>0</v>
      </c>
      <c r="H428" s="373">
        <f t="shared" si="314"/>
        <v>0.27</v>
      </c>
      <c r="I428" s="373">
        <f t="shared" si="314"/>
        <v>0.28000000000000003</v>
      </c>
      <c r="J428" s="373">
        <f t="shared" si="319"/>
        <v>0</v>
      </c>
      <c r="K428" s="373">
        <f t="shared" si="320"/>
        <v>0</v>
      </c>
      <c r="L428" s="373">
        <f t="shared" si="314"/>
        <v>0.27</v>
      </c>
      <c r="M428" s="373">
        <f t="shared" si="314"/>
        <v>0.28000000000000003</v>
      </c>
      <c r="N428" s="373">
        <f t="shared" si="321"/>
        <v>0</v>
      </c>
      <c r="O428" s="373">
        <f t="shared" si="322"/>
        <v>0</v>
      </c>
      <c r="P428" s="373">
        <f t="shared" si="314"/>
        <v>0.25</v>
      </c>
      <c r="Q428" s="373">
        <f t="shared" si="314"/>
        <v>0.22</v>
      </c>
      <c r="R428" s="373">
        <f t="shared" si="323"/>
        <v>0</v>
      </c>
      <c r="S428" s="373">
        <f t="shared" si="324"/>
        <v>0</v>
      </c>
      <c r="T428" s="373">
        <f t="shared" si="314"/>
        <v>0.25</v>
      </c>
      <c r="U428" s="373">
        <f t="shared" si="314"/>
        <v>0.22</v>
      </c>
      <c r="V428" s="373">
        <f t="shared" si="325"/>
        <v>0</v>
      </c>
      <c r="W428" s="373">
        <f t="shared" si="326"/>
        <v>0</v>
      </c>
      <c r="X428" s="373">
        <f t="shared" si="314"/>
        <v>0.25</v>
      </c>
      <c r="Y428" s="373">
        <f t="shared" si="314"/>
        <v>0.22</v>
      </c>
      <c r="Z428" s="373">
        <f t="shared" si="327"/>
        <v>0</v>
      </c>
      <c r="AA428" s="373">
        <f t="shared" si="328"/>
        <v>0</v>
      </c>
      <c r="AB428" s="373">
        <f t="shared" si="314"/>
        <v>0.25</v>
      </c>
      <c r="AC428" s="373">
        <f t="shared" si="314"/>
        <v>0.22</v>
      </c>
      <c r="AE428" s="373">
        <f t="shared" si="329"/>
        <v>0</v>
      </c>
      <c r="AF428" s="373">
        <f t="shared" si="330"/>
        <v>0</v>
      </c>
      <c r="AG428" s="373">
        <f t="shared" si="331"/>
        <v>0</v>
      </c>
      <c r="AH428" s="373">
        <f t="shared" si="331"/>
        <v>0</v>
      </c>
      <c r="AI428" s="373">
        <f t="shared" si="332"/>
        <v>0</v>
      </c>
      <c r="AJ428" s="373">
        <f t="shared" si="332"/>
        <v>0</v>
      </c>
      <c r="AK428" s="373">
        <f t="shared" si="333"/>
        <v>0</v>
      </c>
      <c r="AL428" s="373">
        <f t="shared" si="333"/>
        <v>0</v>
      </c>
      <c r="AM428" s="373">
        <f t="shared" si="334"/>
        <v>0</v>
      </c>
      <c r="AN428" s="373">
        <f t="shared" si="335"/>
        <v>0</v>
      </c>
      <c r="AO428" s="373">
        <f t="shared" si="336"/>
        <v>0</v>
      </c>
      <c r="AP428" s="373">
        <f t="shared" si="336"/>
        <v>0</v>
      </c>
      <c r="AQ428" s="373">
        <f t="shared" si="337"/>
        <v>0</v>
      </c>
      <c r="AR428" s="373">
        <f t="shared" si="337"/>
        <v>0</v>
      </c>
      <c r="AS428" s="373">
        <f t="shared" si="338"/>
        <v>0</v>
      </c>
      <c r="AT428" s="373">
        <f t="shared" si="338"/>
        <v>0</v>
      </c>
      <c r="AU428" s="373">
        <f t="shared" si="339"/>
        <v>0</v>
      </c>
      <c r="AV428"/>
    </row>
    <row r="429" spans="1:48" x14ac:dyDescent="0.35">
      <c r="A429" s="130">
        <v>8</v>
      </c>
      <c r="B429" s="373">
        <f t="shared" si="315"/>
        <v>0</v>
      </c>
      <c r="C429" s="373">
        <f t="shared" si="316"/>
        <v>0</v>
      </c>
      <c r="D429" s="373">
        <f t="shared" si="314"/>
        <v>0.27</v>
      </c>
      <c r="E429" s="373">
        <f t="shared" si="314"/>
        <v>0.28000000000000003</v>
      </c>
      <c r="F429" s="373">
        <f t="shared" si="317"/>
        <v>0</v>
      </c>
      <c r="G429" s="373">
        <f t="shared" si="318"/>
        <v>0</v>
      </c>
      <c r="H429" s="373">
        <f t="shared" si="314"/>
        <v>0.27</v>
      </c>
      <c r="I429" s="373">
        <f t="shared" si="314"/>
        <v>0.28000000000000003</v>
      </c>
      <c r="J429" s="373">
        <f t="shared" si="319"/>
        <v>0</v>
      </c>
      <c r="K429" s="373">
        <f t="shared" si="320"/>
        <v>0</v>
      </c>
      <c r="L429" s="373">
        <f t="shared" si="314"/>
        <v>0.27</v>
      </c>
      <c r="M429" s="373">
        <f t="shared" si="314"/>
        <v>0.28000000000000003</v>
      </c>
      <c r="N429" s="373">
        <f t="shared" si="321"/>
        <v>0</v>
      </c>
      <c r="O429" s="373">
        <f t="shared" si="322"/>
        <v>0</v>
      </c>
      <c r="P429" s="373">
        <f t="shared" si="314"/>
        <v>0.25</v>
      </c>
      <c r="Q429" s="373">
        <f t="shared" si="314"/>
        <v>0.22</v>
      </c>
      <c r="R429" s="373">
        <f t="shared" si="323"/>
        <v>0</v>
      </c>
      <c r="S429" s="373">
        <f t="shared" si="324"/>
        <v>0</v>
      </c>
      <c r="T429" s="373">
        <f t="shared" si="314"/>
        <v>0.25</v>
      </c>
      <c r="U429" s="373">
        <f t="shared" si="314"/>
        <v>0.22</v>
      </c>
      <c r="V429" s="373">
        <f t="shared" si="325"/>
        <v>0</v>
      </c>
      <c r="W429" s="373">
        <f t="shared" si="326"/>
        <v>0</v>
      </c>
      <c r="X429" s="373">
        <f t="shared" si="314"/>
        <v>0.25</v>
      </c>
      <c r="Y429" s="373">
        <f t="shared" si="314"/>
        <v>0.22</v>
      </c>
      <c r="Z429" s="373">
        <f t="shared" si="327"/>
        <v>0</v>
      </c>
      <c r="AA429" s="373">
        <f t="shared" si="328"/>
        <v>0</v>
      </c>
      <c r="AB429" s="373">
        <f t="shared" si="314"/>
        <v>0.25</v>
      </c>
      <c r="AC429" s="373">
        <f t="shared" si="314"/>
        <v>0.22</v>
      </c>
      <c r="AE429" s="373">
        <f t="shared" si="329"/>
        <v>0</v>
      </c>
      <c r="AF429" s="373">
        <f t="shared" si="330"/>
        <v>0</v>
      </c>
      <c r="AG429" s="373">
        <f t="shared" si="331"/>
        <v>0</v>
      </c>
      <c r="AH429" s="373">
        <f t="shared" si="331"/>
        <v>0</v>
      </c>
      <c r="AI429" s="373">
        <f t="shared" si="332"/>
        <v>0</v>
      </c>
      <c r="AJ429" s="373">
        <f t="shared" si="332"/>
        <v>0</v>
      </c>
      <c r="AK429" s="373">
        <f t="shared" si="333"/>
        <v>0</v>
      </c>
      <c r="AL429" s="373">
        <f t="shared" si="333"/>
        <v>0</v>
      </c>
      <c r="AM429" s="373">
        <f t="shared" si="334"/>
        <v>0</v>
      </c>
      <c r="AN429" s="373">
        <f t="shared" si="335"/>
        <v>0</v>
      </c>
      <c r="AO429" s="373">
        <f t="shared" si="336"/>
        <v>0</v>
      </c>
      <c r="AP429" s="373">
        <f t="shared" si="336"/>
        <v>0</v>
      </c>
      <c r="AQ429" s="373">
        <f t="shared" si="337"/>
        <v>0</v>
      </c>
      <c r="AR429" s="373">
        <f t="shared" si="337"/>
        <v>0</v>
      </c>
      <c r="AS429" s="373">
        <f t="shared" si="338"/>
        <v>0</v>
      </c>
      <c r="AT429" s="373">
        <f t="shared" si="338"/>
        <v>0</v>
      </c>
      <c r="AU429" s="373">
        <f t="shared" si="339"/>
        <v>0</v>
      </c>
      <c r="AV429"/>
    </row>
    <row r="430" spans="1:48" x14ac:dyDescent="0.35">
      <c r="A430" s="130">
        <v>9</v>
      </c>
      <c r="B430" s="373">
        <f t="shared" si="315"/>
        <v>0</v>
      </c>
      <c r="C430" s="373">
        <f t="shared" si="316"/>
        <v>0</v>
      </c>
      <c r="D430" s="373">
        <f t="shared" si="314"/>
        <v>0.27</v>
      </c>
      <c r="E430" s="373">
        <f t="shared" si="314"/>
        <v>0.28000000000000003</v>
      </c>
      <c r="F430" s="373">
        <f t="shared" si="317"/>
        <v>0</v>
      </c>
      <c r="G430" s="373">
        <f t="shared" si="318"/>
        <v>0</v>
      </c>
      <c r="H430" s="373">
        <f t="shared" si="314"/>
        <v>0.27</v>
      </c>
      <c r="I430" s="373">
        <f t="shared" si="314"/>
        <v>0.28000000000000003</v>
      </c>
      <c r="J430" s="373">
        <f t="shared" si="319"/>
        <v>0</v>
      </c>
      <c r="K430" s="373">
        <f t="shared" si="320"/>
        <v>0</v>
      </c>
      <c r="L430" s="373">
        <f t="shared" si="314"/>
        <v>0.27</v>
      </c>
      <c r="M430" s="373">
        <f t="shared" si="314"/>
        <v>0.28000000000000003</v>
      </c>
      <c r="N430" s="373">
        <f t="shared" si="321"/>
        <v>0</v>
      </c>
      <c r="O430" s="373">
        <f t="shared" si="322"/>
        <v>0</v>
      </c>
      <c r="P430" s="373">
        <f t="shared" si="314"/>
        <v>0.25</v>
      </c>
      <c r="Q430" s="373">
        <f t="shared" si="314"/>
        <v>0.22</v>
      </c>
      <c r="R430" s="373">
        <f t="shared" si="323"/>
        <v>0</v>
      </c>
      <c r="S430" s="373">
        <f t="shared" si="324"/>
        <v>0</v>
      </c>
      <c r="T430" s="373">
        <f t="shared" si="314"/>
        <v>0.25</v>
      </c>
      <c r="U430" s="373">
        <f t="shared" si="314"/>
        <v>0.22</v>
      </c>
      <c r="V430" s="373">
        <f t="shared" si="325"/>
        <v>0</v>
      </c>
      <c r="W430" s="373">
        <f t="shared" si="326"/>
        <v>0</v>
      </c>
      <c r="X430" s="373">
        <f t="shared" si="314"/>
        <v>0.25</v>
      </c>
      <c r="Y430" s="373">
        <f t="shared" si="314"/>
        <v>0.22</v>
      </c>
      <c r="Z430" s="373">
        <f t="shared" si="327"/>
        <v>0</v>
      </c>
      <c r="AA430" s="373">
        <f t="shared" si="328"/>
        <v>0</v>
      </c>
      <c r="AB430" s="373">
        <f t="shared" si="314"/>
        <v>0.25</v>
      </c>
      <c r="AC430" s="373">
        <f t="shared" si="314"/>
        <v>0.22</v>
      </c>
      <c r="AE430" s="373">
        <f t="shared" si="329"/>
        <v>0</v>
      </c>
      <c r="AF430" s="373">
        <f t="shared" si="330"/>
        <v>0</v>
      </c>
      <c r="AG430" s="373">
        <f t="shared" si="331"/>
        <v>0</v>
      </c>
      <c r="AH430" s="373">
        <f t="shared" si="331"/>
        <v>0</v>
      </c>
      <c r="AI430" s="373">
        <f t="shared" si="332"/>
        <v>0</v>
      </c>
      <c r="AJ430" s="373">
        <f t="shared" si="332"/>
        <v>0</v>
      </c>
      <c r="AK430" s="373">
        <f t="shared" si="333"/>
        <v>0</v>
      </c>
      <c r="AL430" s="373">
        <f t="shared" si="333"/>
        <v>0</v>
      </c>
      <c r="AM430" s="373">
        <f t="shared" si="334"/>
        <v>0</v>
      </c>
      <c r="AN430" s="373">
        <f t="shared" si="335"/>
        <v>0</v>
      </c>
      <c r="AO430" s="373">
        <f t="shared" si="336"/>
        <v>0</v>
      </c>
      <c r="AP430" s="373">
        <f t="shared" si="336"/>
        <v>0</v>
      </c>
      <c r="AQ430" s="373">
        <f t="shared" si="337"/>
        <v>0</v>
      </c>
      <c r="AR430" s="373">
        <f t="shared" si="337"/>
        <v>0</v>
      </c>
      <c r="AS430" s="373">
        <f t="shared" si="338"/>
        <v>0</v>
      </c>
      <c r="AT430" s="373">
        <f t="shared" si="338"/>
        <v>0</v>
      </c>
      <c r="AU430" s="373">
        <f t="shared" si="339"/>
        <v>0</v>
      </c>
      <c r="AV430"/>
    </row>
    <row r="431" spans="1:48" x14ac:dyDescent="0.35">
      <c r="A431" s="130">
        <v>10</v>
      </c>
      <c r="B431" s="373">
        <f t="shared" si="315"/>
        <v>0</v>
      </c>
      <c r="C431" s="373">
        <f t="shared" si="316"/>
        <v>0</v>
      </c>
      <c r="D431" s="373">
        <f t="shared" si="314"/>
        <v>0.27</v>
      </c>
      <c r="E431" s="373">
        <f t="shared" si="314"/>
        <v>0.28000000000000003</v>
      </c>
      <c r="F431" s="373">
        <f t="shared" si="317"/>
        <v>0</v>
      </c>
      <c r="G431" s="373">
        <f t="shared" si="318"/>
        <v>0</v>
      </c>
      <c r="H431" s="373">
        <f t="shared" si="314"/>
        <v>0.27</v>
      </c>
      <c r="I431" s="373">
        <f t="shared" si="314"/>
        <v>0.28000000000000003</v>
      </c>
      <c r="J431" s="373">
        <f t="shared" si="319"/>
        <v>0</v>
      </c>
      <c r="K431" s="373">
        <f t="shared" si="320"/>
        <v>0</v>
      </c>
      <c r="L431" s="373">
        <f t="shared" si="314"/>
        <v>0.27</v>
      </c>
      <c r="M431" s="373">
        <f t="shared" si="314"/>
        <v>0.28000000000000003</v>
      </c>
      <c r="N431" s="373">
        <f t="shared" si="321"/>
        <v>0</v>
      </c>
      <c r="O431" s="373">
        <f t="shared" si="322"/>
        <v>0</v>
      </c>
      <c r="P431" s="373">
        <f t="shared" ref="P431:P441" si="340">X84</f>
        <v>0.25</v>
      </c>
      <c r="Q431" s="373">
        <f t="shared" ref="Q431:Q441" si="341">Y84</f>
        <v>0.22</v>
      </c>
      <c r="R431" s="373">
        <f t="shared" si="323"/>
        <v>0</v>
      </c>
      <c r="S431" s="373">
        <f t="shared" si="324"/>
        <v>0</v>
      </c>
      <c r="T431" s="373">
        <f t="shared" ref="T431:T441" si="342">AB84</f>
        <v>0.25</v>
      </c>
      <c r="U431" s="373">
        <f t="shared" ref="U431:U441" si="343">AC84</f>
        <v>0.22</v>
      </c>
      <c r="V431" s="373">
        <f t="shared" si="325"/>
        <v>0</v>
      </c>
      <c r="W431" s="373">
        <f t="shared" si="326"/>
        <v>0</v>
      </c>
      <c r="X431" s="373">
        <f t="shared" ref="X431:X441" si="344">AF84</f>
        <v>0.25</v>
      </c>
      <c r="Y431" s="373">
        <f t="shared" ref="Y431:Y441" si="345">AG84</f>
        <v>0.22</v>
      </c>
      <c r="Z431" s="373">
        <f t="shared" si="327"/>
        <v>0</v>
      </c>
      <c r="AA431" s="373">
        <f t="shared" si="328"/>
        <v>0</v>
      </c>
      <c r="AB431" s="373">
        <f t="shared" ref="AB431:AB441" si="346">AJ84</f>
        <v>0.25</v>
      </c>
      <c r="AC431" s="373">
        <f t="shared" ref="AC431:AC441" si="347">AK84</f>
        <v>0.22</v>
      </c>
      <c r="AE431" s="373">
        <f t="shared" si="329"/>
        <v>0</v>
      </c>
      <c r="AF431" s="373">
        <f t="shared" si="330"/>
        <v>0</v>
      </c>
      <c r="AG431" s="373">
        <f t="shared" si="331"/>
        <v>0</v>
      </c>
      <c r="AH431" s="373">
        <f t="shared" si="331"/>
        <v>0</v>
      </c>
      <c r="AI431" s="373">
        <f t="shared" si="332"/>
        <v>0</v>
      </c>
      <c r="AJ431" s="373">
        <f t="shared" si="332"/>
        <v>0</v>
      </c>
      <c r="AK431" s="373">
        <f t="shared" si="333"/>
        <v>0</v>
      </c>
      <c r="AL431" s="373">
        <f t="shared" si="333"/>
        <v>0</v>
      </c>
      <c r="AM431" s="373">
        <f t="shared" si="334"/>
        <v>0</v>
      </c>
      <c r="AN431" s="373">
        <f t="shared" si="335"/>
        <v>0</v>
      </c>
      <c r="AO431" s="373">
        <f t="shared" si="336"/>
        <v>0</v>
      </c>
      <c r="AP431" s="373">
        <f t="shared" si="336"/>
        <v>0</v>
      </c>
      <c r="AQ431" s="373">
        <f t="shared" si="337"/>
        <v>0</v>
      </c>
      <c r="AR431" s="373">
        <f t="shared" si="337"/>
        <v>0</v>
      </c>
      <c r="AS431" s="373">
        <f t="shared" si="338"/>
        <v>0</v>
      </c>
      <c r="AT431" s="373">
        <f t="shared" si="338"/>
        <v>0</v>
      </c>
      <c r="AU431" s="373">
        <f t="shared" si="339"/>
        <v>0</v>
      </c>
      <c r="AV431"/>
    </row>
    <row r="432" spans="1:48" x14ac:dyDescent="0.35">
      <c r="A432" s="130">
        <v>11</v>
      </c>
      <c r="B432" s="373">
        <f t="shared" si="315"/>
        <v>0</v>
      </c>
      <c r="C432" s="373">
        <f t="shared" si="316"/>
        <v>0</v>
      </c>
      <c r="D432" s="373">
        <f t="shared" ref="D432:D441" si="348">L85</f>
        <v>0.27</v>
      </c>
      <c r="E432" s="373">
        <f t="shared" ref="E432:E441" si="349">M85</f>
        <v>0.28000000000000003</v>
      </c>
      <c r="F432" s="373">
        <f t="shared" si="317"/>
        <v>0</v>
      </c>
      <c r="G432" s="373">
        <f t="shared" si="318"/>
        <v>0</v>
      </c>
      <c r="H432" s="373">
        <f t="shared" ref="H432:H441" si="350">P85</f>
        <v>0.27</v>
      </c>
      <c r="I432" s="373">
        <f t="shared" ref="I432:I441" si="351">Q85</f>
        <v>0.28000000000000003</v>
      </c>
      <c r="J432" s="373">
        <f t="shared" si="319"/>
        <v>0</v>
      </c>
      <c r="K432" s="373">
        <f t="shared" si="320"/>
        <v>0</v>
      </c>
      <c r="L432" s="373">
        <f t="shared" ref="L432:L441" si="352">T85</f>
        <v>0.27</v>
      </c>
      <c r="M432" s="373">
        <f t="shared" ref="M432:M441" si="353">U85</f>
        <v>0.28000000000000003</v>
      </c>
      <c r="N432" s="373">
        <f t="shared" si="321"/>
        <v>0</v>
      </c>
      <c r="O432" s="373">
        <f t="shared" si="322"/>
        <v>0</v>
      </c>
      <c r="P432" s="373">
        <f t="shared" si="340"/>
        <v>0.25</v>
      </c>
      <c r="Q432" s="373">
        <f t="shared" si="341"/>
        <v>0.22</v>
      </c>
      <c r="R432" s="373">
        <f t="shared" si="323"/>
        <v>0</v>
      </c>
      <c r="S432" s="373">
        <f t="shared" si="324"/>
        <v>0</v>
      </c>
      <c r="T432" s="373">
        <f t="shared" si="342"/>
        <v>0.25</v>
      </c>
      <c r="U432" s="373">
        <f t="shared" si="343"/>
        <v>0.22</v>
      </c>
      <c r="V432" s="373">
        <f t="shared" si="325"/>
        <v>0</v>
      </c>
      <c r="W432" s="373">
        <f t="shared" si="326"/>
        <v>0</v>
      </c>
      <c r="X432" s="373">
        <f t="shared" si="344"/>
        <v>0.25</v>
      </c>
      <c r="Y432" s="373">
        <f t="shared" si="345"/>
        <v>0.22</v>
      </c>
      <c r="Z432" s="373">
        <f t="shared" si="327"/>
        <v>0</v>
      </c>
      <c r="AA432" s="373">
        <f t="shared" si="328"/>
        <v>0</v>
      </c>
      <c r="AB432" s="373">
        <f t="shared" si="346"/>
        <v>0.25</v>
      </c>
      <c r="AC432" s="373">
        <f t="shared" si="347"/>
        <v>0.22</v>
      </c>
      <c r="AE432" s="373">
        <f t="shared" si="329"/>
        <v>0</v>
      </c>
      <c r="AF432" s="373">
        <f t="shared" si="330"/>
        <v>0</v>
      </c>
      <c r="AG432" s="373">
        <f t="shared" si="331"/>
        <v>0</v>
      </c>
      <c r="AH432" s="373">
        <f t="shared" si="331"/>
        <v>0</v>
      </c>
      <c r="AI432" s="373">
        <f t="shared" si="332"/>
        <v>0</v>
      </c>
      <c r="AJ432" s="373">
        <f t="shared" si="332"/>
        <v>0</v>
      </c>
      <c r="AK432" s="373">
        <f t="shared" si="333"/>
        <v>0</v>
      </c>
      <c r="AL432" s="373">
        <f t="shared" si="333"/>
        <v>0</v>
      </c>
      <c r="AM432" s="373">
        <f t="shared" si="334"/>
        <v>0</v>
      </c>
      <c r="AN432" s="373">
        <f t="shared" si="335"/>
        <v>0</v>
      </c>
      <c r="AO432" s="373">
        <f t="shared" si="336"/>
        <v>0</v>
      </c>
      <c r="AP432" s="373">
        <f t="shared" si="336"/>
        <v>0</v>
      </c>
      <c r="AQ432" s="373">
        <f t="shared" si="337"/>
        <v>0</v>
      </c>
      <c r="AR432" s="373">
        <f t="shared" si="337"/>
        <v>0</v>
      </c>
      <c r="AS432" s="373">
        <f t="shared" si="338"/>
        <v>0</v>
      </c>
      <c r="AT432" s="373">
        <f t="shared" si="338"/>
        <v>0</v>
      </c>
      <c r="AU432" s="373">
        <f t="shared" si="339"/>
        <v>0</v>
      </c>
      <c r="AV432"/>
    </row>
    <row r="433" spans="1:48" x14ac:dyDescent="0.35">
      <c r="A433" s="130">
        <v>12</v>
      </c>
      <c r="B433" s="373">
        <f t="shared" si="315"/>
        <v>0</v>
      </c>
      <c r="C433" s="373">
        <f t="shared" si="316"/>
        <v>0</v>
      </c>
      <c r="D433" s="373">
        <f t="shared" si="348"/>
        <v>0.27</v>
      </c>
      <c r="E433" s="373">
        <f t="shared" si="349"/>
        <v>0.28000000000000003</v>
      </c>
      <c r="F433" s="373">
        <f t="shared" si="317"/>
        <v>0</v>
      </c>
      <c r="G433" s="373">
        <f t="shared" si="318"/>
        <v>0</v>
      </c>
      <c r="H433" s="373">
        <f t="shared" si="350"/>
        <v>0.27</v>
      </c>
      <c r="I433" s="373">
        <f t="shared" si="351"/>
        <v>0.28000000000000003</v>
      </c>
      <c r="J433" s="373">
        <f t="shared" si="319"/>
        <v>0</v>
      </c>
      <c r="K433" s="373">
        <f t="shared" si="320"/>
        <v>0</v>
      </c>
      <c r="L433" s="373">
        <f t="shared" si="352"/>
        <v>0.27</v>
      </c>
      <c r="M433" s="373">
        <f t="shared" si="353"/>
        <v>0.28000000000000003</v>
      </c>
      <c r="N433" s="373">
        <f t="shared" si="321"/>
        <v>0</v>
      </c>
      <c r="O433" s="373">
        <f t="shared" si="322"/>
        <v>0</v>
      </c>
      <c r="P433" s="373">
        <f t="shared" si="340"/>
        <v>0.25</v>
      </c>
      <c r="Q433" s="373">
        <f t="shared" si="341"/>
        <v>0.22</v>
      </c>
      <c r="R433" s="373">
        <f t="shared" si="323"/>
        <v>0</v>
      </c>
      <c r="S433" s="373">
        <f t="shared" si="324"/>
        <v>0</v>
      </c>
      <c r="T433" s="373">
        <f t="shared" si="342"/>
        <v>0.25</v>
      </c>
      <c r="U433" s="373">
        <f t="shared" si="343"/>
        <v>0.22</v>
      </c>
      <c r="V433" s="373">
        <f t="shared" si="325"/>
        <v>0</v>
      </c>
      <c r="W433" s="373">
        <f t="shared" si="326"/>
        <v>0</v>
      </c>
      <c r="X433" s="373">
        <f t="shared" si="344"/>
        <v>0.25</v>
      </c>
      <c r="Y433" s="373">
        <f t="shared" si="345"/>
        <v>0.22</v>
      </c>
      <c r="Z433" s="373">
        <f t="shared" si="327"/>
        <v>0</v>
      </c>
      <c r="AA433" s="373">
        <f t="shared" si="328"/>
        <v>0</v>
      </c>
      <c r="AB433" s="373">
        <f t="shared" si="346"/>
        <v>0.25</v>
      </c>
      <c r="AC433" s="373">
        <f t="shared" si="347"/>
        <v>0.22</v>
      </c>
      <c r="AE433" s="373">
        <f t="shared" si="329"/>
        <v>0</v>
      </c>
      <c r="AF433" s="373">
        <f t="shared" si="330"/>
        <v>0</v>
      </c>
      <c r="AG433" s="373">
        <f t="shared" si="331"/>
        <v>0</v>
      </c>
      <c r="AH433" s="373">
        <f t="shared" si="331"/>
        <v>0</v>
      </c>
      <c r="AI433" s="373">
        <f t="shared" si="332"/>
        <v>0</v>
      </c>
      <c r="AJ433" s="373">
        <f t="shared" si="332"/>
        <v>0</v>
      </c>
      <c r="AK433" s="373">
        <f t="shared" si="333"/>
        <v>0</v>
      </c>
      <c r="AL433" s="373">
        <f t="shared" si="333"/>
        <v>0</v>
      </c>
      <c r="AM433" s="373">
        <f t="shared" si="334"/>
        <v>0</v>
      </c>
      <c r="AN433" s="373">
        <f t="shared" si="335"/>
        <v>0</v>
      </c>
      <c r="AO433" s="373">
        <f t="shared" si="336"/>
        <v>0</v>
      </c>
      <c r="AP433" s="373">
        <f t="shared" si="336"/>
        <v>0</v>
      </c>
      <c r="AQ433" s="373">
        <f t="shared" si="337"/>
        <v>0</v>
      </c>
      <c r="AR433" s="373">
        <f t="shared" si="337"/>
        <v>0</v>
      </c>
      <c r="AS433" s="373">
        <f t="shared" si="338"/>
        <v>0</v>
      </c>
      <c r="AT433" s="373">
        <f t="shared" si="338"/>
        <v>0</v>
      </c>
      <c r="AU433" s="373">
        <f t="shared" si="339"/>
        <v>0</v>
      </c>
      <c r="AV433"/>
    </row>
    <row r="434" spans="1:48" x14ac:dyDescent="0.35">
      <c r="A434" s="130">
        <v>13</v>
      </c>
      <c r="B434" s="373">
        <f t="shared" si="315"/>
        <v>0</v>
      </c>
      <c r="C434" s="373">
        <f t="shared" si="316"/>
        <v>0</v>
      </c>
      <c r="D434" s="373">
        <f t="shared" si="348"/>
        <v>0.27</v>
      </c>
      <c r="E434" s="373">
        <f t="shared" si="349"/>
        <v>0.28000000000000003</v>
      </c>
      <c r="F434" s="373">
        <f t="shared" si="317"/>
        <v>0</v>
      </c>
      <c r="G434" s="373">
        <f t="shared" si="318"/>
        <v>0</v>
      </c>
      <c r="H434" s="373">
        <f t="shared" si="350"/>
        <v>0.27</v>
      </c>
      <c r="I434" s="373">
        <f t="shared" si="351"/>
        <v>0.28000000000000003</v>
      </c>
      <c r="J434" s="373">
        <f t="shared" si="319"/>
        <v>0</v>
      </c>
      <c r="K434" s="373">
        <f t="shared" si="320"/>
        <v>0</v>
      </c>
      <c r="L434" s="373">
        <f t="shared" si="352"/>
        <v>0.27</v>
      </c>
      <c r="M434" s="373">
        <f t="shared" si="353"/>
        <v>0.28000000000000003</v>
      </c>
      <c r="N434" s="373">
        <f t="shared" si="321"/>
        <v>0</v>
      </c>
      <c r="O434" s="373">
        <f t="shared" si="322"/>
        <v>0</v>
      </c>
      <c r="P434" s="373">
        <f t="shared" si="340"/>
        <v>0.25</v>
      </c>
      <c r="Q434" s="373">
        <f t="shared" si="341"/>
        <v>0.22</v>
      </c>
      <c r="R434" s="373">
        <f t="shared" si="323"/>
        <v>0</v>
      </c>
      <c r="S434" s="373">
        <f t="shared" si="324"/>
        <v>0</v>
      </c>
      <c r="T434" s="373">
        <f t="shared" si="342"/>
        <v>0.25</v>
      </c>
      <c r="U434" s="373">
        <f t="shared" si="343"/>
        <v>0.22</v>
      </c>
      <c r="V434" s="373">
        <f t="shared" si="325"/>
        <v>0</v>
      </c>
      <c r="W434" s="373">
        <f t="shared" si="326"/>
        <v>0</v>
      </c>
      <c r="X434" s="373">
        <f t="shared" si="344"/>
        <v>0.25</v>
      </c>
      <c r="Y434" s="373">
        <f t="shared" si="345"/>
        <v>0.22</v>
      </c>
      <c r="Z434" s="373">
        <f t="shared" si="327"/>
        <v>0</v>
      </c>
      <c r="AA434" s="373">
        <f t="shared" si="328"/>
        <v>0</v>
      </c>
      <c r="AB434" s="373">
        <f t="shared" si="346"/>
        <v>0.25</v>
      </c>
      <c r="AC434" s="373">
        <f t="shared" si="347"/>
        <v>0.22</v>
      </c>
      <c r="AE434" s="373">
        <f t="shared" si="329"/>
        <v>0</v>
      </c>
      <c r="AF434" s="373">
        <f t="shared" si="330"/>
        <v>0</v>
      </c>
      <c r="AG434" s="373">
        <f t="shared" si="331"/>
        <v>0</v>
      </c>
      <c r="AH434" s="373">
        <f t="shared" si="331"/>
        <v>0</v>
      </c>
      <c r="AI434" s="373">
        <f t="shared" si="332"/>
        <v>0</v>
      </c>
      <c r="AJ434" s="373">
        <f t="shared" si="332"/>
        <v>0</v>
      </c>
      <c r="AK434" s="373">
        <f t="shared" si="333"/>
        <v>0</v>
      </c>
      <c r="AL434" s="373">
        <f t="shared" si="333"/>
        <v>0</v>
      </c>
      <c r="AM434" s="373">
        <f t="shared" si="334"/>
        <v>0</v>
      </c>
      <c r="AN434" s="373">
        <f t="shared" si="335"/>
        <v>0</v>
      </c>
      <c r="AO434" s="373">
        <f t="shared" si="336"/>
        <v>0</v>
      </c>
      <c r="AP434" s="373">
        <f t="shared" si="336"/>
        <v>0</v>
      </c>
      <c r="AQ434" s="373">
        <f t="shared" si="337"/>
        <v>0</v>
      </c>
      <c r="AR434" s="373">
        <f t="shared" si="337"/>
        <v>0</v>
      </c>
      <c r="AS434" s="373">
        <f t="shared" si="338"/>
        <v>0</v>
      </c>
      <c r="AT434" s="373">
        <f t="shared" si="338"/>
        <v>0</v>
      </c>
      <c r="AU434" s="373">
        <f t="shared" si="339"/>
        <v>0</v>
      </c>
      <c r="AV434"/>
    </row>
    <row r="435" spans="1:48" x14ac:dyDescent="0.35">
      <c r="A435" s="130">
        <v>14</v>
      </c>
      <c r="B435" s="373">
        <f t="shared" si="315"/>
        <v>0</v>
      </c>
      <c r="C435" s="373">
        <f t="shared" si="316"/>
        <v>0</v>
      </c>
      <c r="D435" s="373">
        <f t="shared" si="348"/>
        <v>0.27</v>
      </c>
      <c r="E435" s="373">
        <f t="shared" si="349"/>
        <v>0.28000000000000003</v>
      </c>
      <c r="F435" s="373">
        <f t="shared" si="317"/>
        <v>0</v>
      </c>
      <c r="G435" s="373">
        <f t="shared" si="318"/>
        <v>0</v>
      </c>
      <c r="H435" s="373">
        <f t="shared" si="350"/>
        <v>0.27</v>
      </c>
      <c r="I435" s="373">
        <f t="shared" si="351"/>
        <v>0.28000000000000003</v>
      </c>
      <c r="J435" s="373">
        <f t="shared" si="319"/>
        <v>0</v>
      </c>
      <c r="K435" s="373">
        <f t="shared" si="320"/>
        <v>0</v>
      </c>
      <c r="L435" s="373">
        <f t="shared" si="352"/>
        <v>0.27</v>
      </c>
      <c r="M435" s="373">
        <f t="shared" si="353"/>
        <v>0.28000000000000003</v>
      </c>
      <c r="N435" s="373">
        <f t="shared" si="321"/>
        <v>0</v>
      </c>
      <c r="O435" s="373">
        <f t="shared" si="322"/>
        <v>0</v>
      </c>
      <c r="P435" s="373">
        <f t="shared" si="340"/>
        <v>0.25</v>
      </c>
      <c r="Q435" s="373">
        <f t="shared" si="341"/>
        <v>0.22</v>
      </c>
      <c r="R435" s="373">
        <f t="shared" si="323"/>
        <v>0</v>
      </c>
      <c r="S435" s="373">
        <f t="shared" si="324"/>
        <v>0</v>
      </c>
      <c r="T435" s="373">
        <f t="shared" si="342"/>
        <v>0.25</v>
      </c>
      <c r="U435" s="373">
        <f t="shared" si="343"/>
        <v>0.22</v>
      </c>
      <c r="V435" s="373">
        <f t="shared" si="325"/>
        <v>0</v>
      </c>
      <c r="W435" s="373">
        <f t="shared" si="326"/>
        <v>0</v>
      </c>
      <c r="X435" s="373">
        <f t="shared" si="344"/>
        <v>0.25</v>
      </c>
      <c r="Y435" s="373">
        <f t="shared" si="345"/>
        <v>0.22</v>
      </c>
      <c r="Z435" s="373">
        <f t="shared" si="327"/>
        <v>0</v>
      </c>
      <c r="AA435" s="373">
        <f t="shared" si="328"/>
        <v>0</v>
      </c>
      <c r="AB435" s="373">
        <f t="shared" si="346"/>
        <v>0.25</v>
      </c>
      <c r="AC435" s="373">
        <f t="shared" si="347"/>
        <v>0.22</v>
      </c>
      <c r="AE435" s="373">
        <f t="shared" si="329"/>
        <v>0</v>
      </c>
      <c r="AF435" s="373">
        <f t="shared" si="330"/>
        <v>0</v>
      </c>
      <c r="AG435" s="373">
        <f t="shared" si="331"/>
        <v>0</v>
      </c>
      <c r="AH435" s="373">
        <f t="shared" si="331"/>
        <v>0</v>
      </c>
      <c r="AI435" s="373">
        <f t="shared" si="332"/>
        <v>0</v>
      </c>
      <c r="AJ435" s="373">
        <f t="shared" si="332"/>
        <v>0</v>
      </c>
      <c r="AK435" s="373">
        <f t="shared" si="333"/>
        <v>0</v>
      </c>
      <c r="AL435" s="373">
        <f t="shared" si="333"/>
        <v>0</v>
      </c>
      <c r="AM435" s="373">
        <f t="shared" si="334"/>
        <v>0</v>
      </c>
      <c r="AN435" s="373">
        <f t="shared" si="335"/>
        <v>0</v>
      </c>
      <c r="AO435" s="373">
        <f t="shared" si="336"/>
        <v>0</v>
      </c>
      <c r="AP435" s="373">
        <f t="shared" si="336"/>
        <v>0</v>
      </c>
      <c r="AQ435" s="373">
        <f t="shared" si="337"/>
        <v>0</v>
      </c>
      <c r="AR435" s="373">
        <f t="shared" si="337"/>
        <v>0</v>
      </c>
      <c r="AS435" s="373">
        <f t="shared" si="338"/>
        <v>0</v>
      </c>
      <c r="AT435" s="373">
        <f t="shared" si="338"/>
        <v>0</v>
      </c>
      <c r="AU435" s="373">
        <f t="shared" si="339"/>
        <v>0</v>
      </c>
      <c r="AV435"/>
    </row>
    <row r="436" spans="1:48" x14ac:dyDescent="0.35">
      <c r="A436" s="130">
        <v>15</v>
      </c>
      <c r="B436" s="373">
        <f t="shared" si="315"/>
        <v>0</v>
      </c>
      <c r="C436" s="373">
        <f t="shared" si="316"/>
        <v>0</v>
      </c>
      <c r="D436" s="373">
        <f t="shared" si="348"/>
        <v>0.27</v>
      </c>
      <c r="E436" s="373">
        <f t="shared" si="349"/>
        <v>0.28000000000000003</v>
      </c>
      <c r="F436" s="373">
        <f t="shared" si="317"/>
        <v>0</v>
      </c>
      <c r="G436" s="373">
        <f t="shared" si="318"/>
        <v>0</v>
      </c>
      <c r="H436" s="373">
        <f t="shared" si="350"/>
        <v>0.27</v>
      </c>
      <c r="I436" s="373">
        <f t="shared" si="351"/>
        <v>0.28000000000000003</v>
      </c>
      <c r="J436" s="373">
        <f t="shared" si="319"/>
        <v>0</v>
      </c>
      <c r="K436" s="373">
        <f t="shared" si="320"/>
        <v>0</v>
      </c>
      <c r="L436" s="373">
        <f t="shared" si="352"/>
        <v>0.27</v>
      </c>
      <c r="M436" s="373">
        <f t="shared" si="353"/>
        <v>0.28000000000000003</v>
      </c>
      <c r="N436" s="373">
        <f t="shared" si="321"/>
        <v>0</v>
      </c>
      <c r="O436" s="373">
        <f t="shared" si="322"/>
        <v>0</v>
      </c>
      <c r="P436" s="373">
        <f t="shared" si="340"/>
        <v>0.25</v>
      </c>
      <c r="Q436" s="373">
        <f t="shared" si="341"/>
        <v>0.22</v>
      </c>
      <c r="R436" s="373">
        <f t="shared" si="323"/>
        <v>0</v>
      </c>
      <c r="S436" s="373">
        <f t="shared" si="324"/>
        <v>0</v>
      </c>
      <c r="T436" s="373">
        <f t="shared" si="342"/>
        <v>0.25</v>
      </c>
      <c r="U436" s="373">
        <f t="shared" si="343"/>
        <v>0.22</v>
      </c>
      <c r="V436" s="373">
        <f t="shared" si="325"/>
        <v>0</v>
      </c>
      <c r="W436" s="373">
        <f t="shared" si="326"/>
        <v>0</v>
      </c>
      <c r="X436" s="373">
        <f t="shared" si="344"/>
        <v>0.25</v>
      </c>
      <c r="Y436" s="373">
        <f t="shared" si="345"/>
        <v>0.22</v>
      </c>
      <c r="Z436" s="373">
        <f t="shared" si="327"/>
        <v>0</v>
      </c>
      <c r="AA436" s="373">
        <f t="shared" si="328"/>
        <v>0</v>
      </c>
      <c r="AB436" s="373">
        <f t="shared" si="346"/>
        <v>0.25</v>
      </c>
      <c r="AC436" s="373">
        <f t="shared" si="347"/>
        <v>0.22</v>
      </c>
      <c r="AE436" s="373">
        <f t="shared" si="329"/>
        <v>0</v>
      </c>
      <c r="AF436" s="373">
        <f t="shared" si="330"/>
        <v>0</v>
      </c>
      <c r="AG436" s="373">
        <f t="shared" si="331"/>
        <v>0</v>
      </c>
      <c r="AH436" s="373">
        <f t="shared" si="331"/>
        <v>0</v>
      </c>
      <c r="AI436" s="373">
        <f t="shared" si="332"/>
        <v>0</v>
      </c>
      <c r="AJ436" s="373">
        <f t="shared" si="332"/>
        <v>0</v>
      </c>
      <c r="AK436" s="373">
        <f t="shared" si="333"/>
        <v>0</v>
      </c>
      <c r="AL436" s="373">
        <f t="shared" si="333"/>
        <v>0</v>
      </c>
      <c r="AM436" s="373">
        <f t="shared" si="334"/>
        <v>0</v>
      </c>
      <c r="AN436" s="373">
        <f t="shared" si="335"/>
        <v>0</v>
      </c>
      <c r="AO436" s="373">
        <f t="shared" si="336"/>
        <v>0</v>
      </c>
      <c r="AP436" s="373">
        <f t="shared" si="336"/>
        <v>0</v>
      </c>
      <c r="AQ436" s="373">
        <f t="shared" si="337"/>
        <v>0</v>
      </c>
      <c r="AR436" s="373">
        <f t="shared" si="337"/>
        <v>0</v>
      </c>
      <c r="AS436" s="373">
        <f t="shared" si="338"/>
        <v>0</v>
      </c>
      <c r="AT436" s="373">
        <f t="shared" si="338"/>
        <v>0</v>
      </c>
      <c r="AU436" s="373">
        <f t="shared" si="339"/>
        <v>0</v>
      </c>
      <c r="AV436"/>
    </row>
    <row r="437" spans="1:48" x14ac:dyDescent="0.35">
      <c r="A437" s="130">
        <v>16</v>
      </c>
      <c r="B437" s="373">
        <f t="shared" si="315"/>
        <v>0</v>
      </c>
      <c r="C437" s="373">
        <f t="shared" si="316"/>
        <v>0</v>
      </c>
      <c r="D437" s="373">
        <f t="shared" si="348"/>
        <v>0.27</v>
      </c>
      <c r="E437" s="373">
        <f t="shared" si="349"/>
        <v>0.28000000000000003</v>
      </c>
      <c r="F437" s="373">
        <f t="shared" si="317"/>
        <v>0</v>
      </c>
      <c r="G437" s="373">
        <f t="shared" si="318"/>
        <v>0</v>
      </c>
      <c r="H437" s="373">
        <f t="shared" si="350"/>
        <v>0.27</v>
      </c>
      <c r="I437" s="373">
        <f t="shared" si="351"/>
        <v>0.28000000000000003</v>
      </c>
      <c r="J437" s="373">
        <f t="shared" si="319"/>
        <v>0</v>
      </c>
      <c r="K437" s="373">
        <f t="shared" si="320"/>
        <v>0</v>
      </c>
      <c r="L437" s="373">
        <f t="shared" si="352"/>
        <v>0.27</v>
      </c>
      <c r="M437" s="373">
        <f t="shared" si="353"/>
        <v>0.28000000000000003</v>
      </c>
      <c r="N437" s="373">
        <f t="shared" si="321"/>
        <v>0</v>
      </c>
      <c r="O437" s="373">
        <f t="shared" si="322"/>
        <v>0</v>
      </c>
      <c r="P437" s="373">
        <f t="shared" si="340"/>
        <v>0.25</v>
      </c>
      <c r="Q437" s="373">
        <f t="shared" si="341"/>
        <v>0.22</v>
      </c>
      <c r="R437" s="373">
        <f t="shared" si="323"/>
        <v>0</v>
      </c>
      <c r="S437" s="373">
        <f t="shared" si="324"/>
        <v>0</v>
      </c>
      <c r="T437" s="373">
        <f t="shared" si="342"/>
        <v>0.25</v>
      </c>
      <c r="U437" s="373">
        <f t="shared" si="343"/>
        <v>0.22</v>
      </c>
      <c r="V437" s="373">
        <f t="shared" si="325"/>
        <v>0</v>
      </c>
      <c r="W437" s="373">
        <f t="shared" si="326"/>
        <v>0</v>
      </c>
      <c r="X437" s="373">
        <f t="shared" si="344"/>
        <v>0.25</v>
      </c>
      <c r="Y437" s="373">
        <f t="shared" si="345"/>
        <v>0.22</v>
      </c>
      <c r="Z437" s="373">
        <f t="shared" si="327"/>
        <v>0</v>
      </c>
      <c r="AA437" s="373">
        <f t="shared" si="328"/>
        <v>0</v>
      </c>
      <c r="AB437" s="373">
        <f t="shared" si="346"/>
        <v>0.25</v>
      </c>
      <c r="AC437" s="373">
        <f t="shared" si="347"/>
        <v>0.22</v>
      </c>
      <c r="AE437" s="373">
        <f t="shared" si="329"/>
        <v>0</v>
      </c>
      <c r="AF437" s="373">
        <f t="shared" si="330"/>
        <v>0</v>
      </c>
      <c r="AG437" s="373">
        <f t="shared" si="331"/>
        <v>0</v>
      </c>
      <c r="AH437" s="373">
        <f t="shared" si="331"/>
        <v>0</v>
      </c>
      <c r="AI437" s="373">
        <f t="shared" si="332"/>
        <v>0</v>
      </c>
      <c r="AJ437" s="373">
        <f t="shared" si="332"/>
        <v>0</v>
      </c>
      <c r="AK437" s="373">
        <f t="shared" si="333"/>
        <v>0</v>
      </c>
      <c r="AL437" s="373">
        <f t="shared" si="333"/>
        <v>0</v>
      </c>
      <c r="AM437" s="373">
        <f t="shared" si="334"/>
        <v>0</v>
      </c>
      <c r="AN437" s="373">
        <f t="shared" si="335"/>
        <v>0</v>
      </c>
      <c r="AO437" s="373">
        <f t="shared" si="336"/>
        <v>0</v>
      </c>
      <c r="AP437" s="373">
        <f t="shared" si="336"/>
        <v>0</v>
      </c>
      <c r="AQ437" s="373">
        <f t="shared" si="337"/>
        <v>0</v>
      </c>
      <c r="AR437" s="373">
        <f t="shared" si="337"/>
        <v>0</v>
      </c>
      <c r="AS437" s="373">
        <f t="shared" si="338"/>
        <v>0</v>
      </c>
      <c r="AT437" s="373">
        <f t="shared" si="338"/>
        <v>0</v>
      </c>
      <c r="AU437" s="373">
        <f t="shared" si="339"/>
        <v>0</v>
      </c>
      <c r="AV437"/>
    </row>
    <row r="438" spans="1:48" x14ac:dyDescent="0.35">
      <c r="A438" s="130">
        <v>17</v>
      </c>
      <c r="B438" s="373">
        <f t="shared" si="315"/>
        <v>0</v>
      </c>
      <c r="C438" s="373">
        <f t="shared" si="316"/>
        <v>0</v>
      </c>
      <c r="D438" s="373">
        <f t="shared" si="348"/>
        <v>0.27</v>
      </c>
      <c r="E438" s="373">
        <f t="shared" si="349"/>
        <v>0.28000000000000003</v>
      </c>
      <c r="F438" s="373">
        <f t="shared" si="317"/>
        <v>0</v>
      </c>
      <c r="G438" s="373">
        <f t="shared" si="318"/>
        <v>0</v>
      </c>
      <c r="H438" s="373">
        <f t="shared" si="350"/>
        <v>0.27</v>
      </c>
      <c r="I438" s="373">
        <f t="shared" si="351"/>
        <v>0.28000000000000003</v>
      </c>
      <c r="J438" s="373">
        <f t="shared" si="319"/>
        <v>0</v>
      </c>
      <c r="K438" s="373">
        <f t="shared" si="320"/>
        <v>0</v>
      </c>
      <c r="L438" s="373">
        <f t="shared" si="352"/>
        <v>0.27</v>
      </c>
      <c r="M438" s="373">
        <f t="shared" si="353"/>
        <v>0.28000000000000003</v>
      </c>
      <c r="N438" s="373">
        <f t="shared" si="321"/>
        <v>0</v>
      </c>
      <c r="O438" s="373">
        <f t="shared" si="322"/>
        <v>0</v>
      </c>
      <c r="P438" s="373">
        <f t="shared" si="340"/>
        <v>0.25</v>
      </c>
      <c r="Q438" s="373">
        <f t="shared" si="341"/>
        <v>0.22</v>
      </c>
      <c r="R438" s="373">
        <f t="shared" si="323"/>
        <v>0</v>
      </c>
      <c r="S438" s="373">
        <f t="shared" si="324"/>
        <v>0</v>
      </c>
      <c r="T438" s="373">
        <f t="shared" si="342"/>
        <v>0.25</v>
      </c>
      <c r="U438" s="373">
        <f t="shared" si="343"/>
        <v>0.22</v>
      </c>
      <c r="V438" s="373">
        <f t="shared" si="325"/>
        <v>0</v>
      </c>
      <c r="W438" s="373">
        <f t="shared" si="326"/>
        <v>0</v>
      </c>
      <c r="X438" s="373">
        <f t="shared" si="344"/>
        <v>0.25</v>
      </c>
      <c r="Y438" s="373">
        <f t="shared" si="345"/>
        <v>0.22</v>
      </c>
      <c r="Z438" s="373">
        <f t="shared" si="327"/>
        <v>0</v>
      </c>
      <c r="AA438" s="373">
        <f t="shared" si="328"/>
        <v>0</v>
      </c>
      <c r="AB438" s="373">
        <f t="shared" si="346"/>
        <v>0.25</v>
      </c>
      <c r="AC438" s="373">
        <f t="shared" si="347"/>
        <v>0.22</v>
      </c>
      <c r="AE438" s="373">
        <f t="shared" si="329"/>
        <v>0</v>
      </c>
      <c r="AF438" s="373">
        <f t="shared" ref="AF438:AF441" si="354">C438*E438</f>
        <v>0</v>
      </c>
      <c r="AG438" s="373">
        <f t="shared" si="331"/>
        <v>0</v>
      </c>
      <c r="AH438" s="373">
        <f t="shared" si="331"/>
        <v>0</v>
      </c>
      <c r="AI438" s="373">
        <f t="shared" si="332"/>
        <v>0</v>
      </c>
      <c r="AJ438" s="373">
        <f t="shared" si="332"/>
        <v>0</v>
      </c>
      <c r="AK438" s="373">
        <f t="shared" si="333"/>
        <v>0</v>
      </c>
      <c r="AL438" s="373">
        <f t="shared" si="333"/>
        <v>0</v>
      </c>
      <c r="AM438" s="373">
        <f t="shared" si="334"/>
        <v>0</v>
      </c>
      <c r="AN438" s="373">
        <f t="shared" si="335"/>
        <v>0</v>
      </c>
      <c r="AO438" s="373">
        <f t="shared" si="336"/>
        <v>0</v>
      </c>
      <c r="AP438" s="373">
        <f t="shared" si="336"/>
        <v>0</v>
      </c>
      <c r="AQ438" s="373">
        <f t="shared" si="337"/>
        <v>0</v>
      </c>
      <c r="AR438" s="373">
        <f t="shared" si="337"/>
        <v>0</v>
      </c>
      <c r="AS438" s="373">
        <f t="shared" si="338"/>
        <v>0</v>
      </c>
      <c r="AT438" s="373">
        <f t="shared" si="338"/>
        <v>0</v>
      </c>
      <c r="AU438" s="373">
        <f t="shared" si="339"/>
        <v>0</v>
      </c>
      <c r="AV438"/>
    </row>
    <row r="439" spans="1:48" x14ac:dyDescent="0.35">
      <c r="A439" s="130">
        <v>18</v>
      </c>
      <c r="B439" s="373">
        <f t="shared" si="315"/>
        <v>0</v>
      </c>
      <c r="C439" s="373">
        <f t="shared" si="316"/>
        <v>0</v>
      </c>
      <c r="D439" s="373">
        <f t="shared" si="348"/>
        <v>0.27</v>
      </c>
      <c r="E439" s="373">
        <f t="shared" si="349"/>
        <v>0.28000000000000003</v>
      </c>
      <c r="F439" s="373">
        <f t="shared" si="317"/>
        <v>0</v>
      </c>
      <c r="G439" s="373">
        <f t="shared" si="318"/>
        <v>0</v>
      </c>
      <c r="H439" s="373">
        <f t="shared" si="350"/>
        <v>0.27</v>
      </c>
      <c r="I439" s="373">
        <f t="shared" si="351"/>
        <v>0.28000000000000003</v>
      </c>
      <c r="J439" s="373">
        <f t="shared" si="319"/>
        <v>0</v>
      </c>
      <c r="K439" s="373">
        <f t="shared" si="320"/>
        <v>0</v>
      </c>
      <c r="L439" s="373">
        <f t="shared" si="352"/>
        <v>0.27</v>
      </c>
      <c r="M439" s="373">
        <f t="shared" si="353"/>
        <v>0.28000000000000003</v>
      </c>
      <c r="N439" s="373">
        <f t="shared" si="321"/>
        <v>0</v>
      </c>
      <c r="O439" s="373">
        <f t="shared" si="322"/>
        <v>0</v>
      </c>
      <c r="P439" s="373">
        <f t="shared" si="340"/>
        <v>0.25</v>
      </c>
      <c r="Q439" s="373">
        <f t="shared" si="341"/>
        <v>0.22</v>
      </c>
      <c r="R439" s="373">
        <f t="shared" si="323"/>
        <v>0</v>
      </c>
      <c r="S439" s="373">
        <f t="shared" si="324"/>
        <v>0</v>
      </c>
      <c r="T439" s="373">
        <f t="shared" si="342"/>
        <v>0.25</v>
      </c>
      <c r="U439" s="373">
        <f t="shared" si="343"/>
        <v>0.22</v>
      </c>
      <c r="V439" s="373">
        <f t="shared" si="325"/>
        <v>0</v>
      </c>
      <c r="W439" s="373">
        <f t="shared" si="326"/>
        <v>0</v>
      </c>
      <c r="X439" s="373">
        <f t="shared" si="344"/>
        <v>0.25</v>
      </c>
      <c r="Y439" s="373">
        <f t="shared" si="345"/>
        <v>0.22</v>
      </c>
      <c r="Z439" s="373">
        <f t="shared" si="327"/>
        <v>0</v>
      </c>
      <c r="AA439" s="373">
        <f t="shared" si="328"/>
        <v>0</v>
      </c>
      <c r="AB439" s="373">
        <f t="shared" si="346"/>
        <v>0.25</v>
      </c>
      <c r="AC439" s="373">
        <f t="shared" si="347"/>
        <v>0.22</v>
      </c>
      <c r="AE439" s="373">
        <f t="shared" si="329"/>
        <v>0</v>
      </c>
      <c r="AF439" s="373">
        <f t="shared" si="354"/>
        <v>0</v>
      </c>
      <c r="AG439" s="373">
        <f t="shared" si="331"/>
        <v>0</v>
      </c>
      <c r="AH439" s="373">
        <f t="shared" si="331"/>
        <v>0</v>
      </c>
      <c r="AI439" s="373">
        <f t="shared" si="332"/>
        <v>0</v>
      </c>
      <c r="AJ439" s="373">
        <f t="shared" si="332"/>
        <v>0</v>
      </c>
      <c r="AK439" s="373">
        <f t="shared" si="333"/>
        <v>0</v>
      </c>
      <c r="AL439" s="373">
        <f t="shared" si="333"/>
        <v>0</v>
      </c>
      <c r="AM439" s="373">
        <f t="shared" si="334"/>
        <v>0</v>
      </c>
      <c r="AN439" s="373">
        <f t="shared" si="335"/>
        <v>0</v>
      </c>
      <c r="AO439" s="373">
        <f t="shared" si="336"/>
        <v>0</v>
      </c>
      <c r="AP439" s="373">
        <f t="shared" si="336"/>
        <v>0</v>
      </c>
      <c r="AQ439" s="373">
        <f t="shared" si="337"/>
        <v>0</v>
      </c>
      <c r="AR439" s="373">
        <f t="shared" si="337"/>
        <v>0</v>
      </c>
      <c r="AS439" s="373">
        <f t="shared" si="338"/>
        <v>0</v>
      </c>
      <c r="AT439" s="373">
        <f t="shared" si="338"/>
        <v>0</v>
      </c>
      <c r="AU439" s="373">
        <f t="shared" si="339"/>
        <v>0</v>
      </c>
      <c r="AV439"/>
    </row>
    <row r="440" spans="1:48" x14ac:dyDescent="0.35">
      <c r="A440" s="130">
        <v>19</v>
      </c>
      <c r="B440" s="373">
        <f t="shared" si="315"/>
        <v>0</v>
      </c>
      <c r="C440" s="373">
        <f t="shared" si="316"/>
        <v>0</v>
      </c>
      <c r="D440" s="373">
        <f t="shared" si="348"/>
        <v>0.27</v>
      </c>
      <c r="E440" s="373">
        <f t="shared" si="349"/>
        <v>0.28000000000000003</v>
      </c>
      <c r="F440" s="373">
        <f t="shared" si="317"/>
        <v>0</v>
      </c>
      <c r="G440" s="373">
        <f t="shared" si="318"/>
        <v>0</v>
      </c>
      <c r="H440" s="373">
        <f t="shared" si="350"/>
        <v>0.27</v>
      </c>
      <c r="I440" s="373">
        <f t="shared" si="351"/>
        <v>0.28000000000000003</v>
      </c>
      <c r="J440" s="373">
        <f t="shared" si="319"/>
        <v>0</v>
      </c>
      <c r="K440" s="373">
        <f t="shared" si="320"/>
        <v>0</v>
      </c>
      <c r="L440" s="373">
        <f t="shared" si="352"/>
        <v>0.27</v>
      </c>
      <c r="M440" s="373">
        <f t="shared" si="353"/>
        <v>0.28000000000000003</v>
      </c>
      <c r="N440" s="373">
        <f t="shared" si="321"/>
        <v>0</v>
      </c>
      <c r="O440" s="373">
        <f t="shared" si="322"/>
        <v>0</v>
      </c>
      <c r="P440" s="373">
        <f t="shared" si="340"/>
        <v>0.25</v>
      </c>
      <c r="Q440" s="373">
        <f t="shared" si="341"/>
        <v>0.22</v>
      </c>
      <c r="R440" s="373">
        <f t="shared" si="323"/>
        <v>0</v>
      </c>
      <c r="S440" s="373">
        <f t="shared" si="324"/>
        <v>0</v>
      </c>
      <c r="T440" s="373">
        <f t="shared" si="342"/>
        <v>0.25</v>
      </c>
      <c r="U440" s="373">
        <f t="shared" si="343"/>
        <v>0.22</v>
      </c>
      <c r="V440" s="373">
        <f t="shared" si="325"/>
        <v>0</v>
      </c>
      <c r="W440" s="373">
        <f t="shared" si="326"/>
        <v>0</v>
      </c>
      <c r="X440" s="373">
        <f t="shared" si="344"/>
        <v>0.25</v>
      </c>
      <c r="Y440" s="373">
        <f t="shared" si="345"/>
        <v>0.22</v>
      </c>
      <c r="Z440" s="373">
        <f t="shared" si="327"/>
        <v>0</v>
      </c>
      <c r="AA440" s="373">
        <f t="shared" si="328"/>
        <v>0</v>
      </c>
      <c r="AB440" s="373">
        <f t="shared" si="346"/>
        <v>0.25</v>
      </c>
      <c r="AC440" s="373">
        <f t="shared" si="347"/>
        <v>0.22</v>
      </c>
      <c r="AE440" s="373">
        <f t="shared" si="329"/>
        <v>0</v>
      </c>
      <c r="AF440" s="373">
        <f t="shared" si="354"/>
        <v>0</v>
      </c>
      <c r="AG440" s="373">
        <f t="shared" si="331"/>
        <v>0</v>
      </c>
      <c r="AH440" s="373">
        <f t="shared" si="331"/>
        <v>0</v>
      </c>
      <c r="AI440" s="373">
        <f t="shared" si="332"/>
        <v>0</v>
      </c>
      <c r="AJ440" s="373">
        <f t="shared" si="332"/>
        <v>0</v>
      </c>
      <c r="AK440" s="373">
        <f t="shared" si="333"/>
        <v>0</v>
      </c>
      <c r="AL440" s="373">
        <f t="shared" si="333"/>
        <v>0</v>
      </c>
      <c r="AM440" s="373">
        <f t="shared" si="334"/>
        <v>0</v>
      </c>
      <c r="AN440" s="373">
        <f t="shared" si="335"/>
        <v>0</v>
      </c>
      <c r="AO440" s="373">
        <f t="shared" si="336"/>
        <v>0</v>
      </c>
      <c r="AP440" s="373">
        <f t="shared" si="336"/>
        <v>0</v>
      </c>
      <c r="AQ440" s="373">
        <f t="shared" si="337"/>
        <v>0</v>
      </c>
      <c r="AR440" s="373">
        <f t="shared" si="337"/>
        <v>0</v>
      </c>
      <c r="AS440" s="373">
        <f t="shared" si="338"/>
        <v>0</v>
      </c>
      <c r="AT440" s="373">
        <f t="shared" si="338"/>
        <v>0</v>
      </c>
      <c r="AU440" s="373">
        <f t="shared" si="339"/>
        <v>0</v>
      </c>
      <c r="AV440"/>
    </row>
    <row r="441" spans="1:48" x14ac:dyDescent="0.35">
      <c r="A441" s="130">
        <v>20</v>
      </c>
      <c r="B441" s="373">
        <f t="shared" si="315"/>
        <v>0</v>
      </c>
      <c r="C441" s="373">
        <f t="shared" si="316"/>
        <v>0</v>
      </c>
      <c r="D441" s="373">
        <f t="shared" si="348"/>
        <v>0.27</v>
      </c>
      <c r="E441" s="373">
        <f t="shared" si="349"/>
        <v>0.28000000000000003</v>
      </c>
      <c r="F441" s="373">
        <f t="shared" si="317"/>
        <v>0</v>
      </c>
      <c r="G441" s="373">
        <f t="shared" si="318"/>
        <v>0</v>
      </c>
      <c r="H441" s="373">
        <f t="shared" si="350"/>
        <v>0.27</v>
      </c>
      <c r="I441" s="373">
        <f t="shared" si="351"/>
        <v>0.28000000000000003</v>
      </c>
      <c r="J441" s="373">
        <f t="shared" si="319"/>
        <v>0</v>
      </c>
      <c r="K441" s="373">
        <f t="shared" si="320"/>
        <v>0</v>
      </c>
      <c r="L441" s="373">
        <f t="shared" si="352"/>
        <v>0.27</v>
      </c>
      <c r="M441" s="373">
        <f t="shared" si="353"/>
        <v>0.28000000000000003</v>
      </c>
      <c r="N441" s="373">
        <f t="shared" si="321"/>
        <v>0</v>
      </c>
      <c r="O441" s="373">
        <f t="shared" si="322"/>
        <v>0</v>
      </c>
      <c r="P441" s="373">
        <f t="shared" si="340"/>
        <v>0.25</v>
      </c>
      <c r="Q441" s="373">
        <f t="shared" si="341"/>
        <v>0.22</v>
      </c>
      <c r="R441" s="373">
        <f t="shared" si="323"/>
        <v>0</v>
      </c>
      <c r="S441" s="373">
        <f t="shared" si="324"/>
        <v>0</v>
      </c>
      <c r="T441" s="373">
        <f t="shared" si="342"/>
        <v>0.25</v>
      </c>
      <c r="U441" s="373">
        <f t="shared" si="343"/>
        <v>0.22</v>
      </c>
      <c r="V441" s="373">
        <f t="shared" si="325"/>
        <v>0</v>
      </c>
      <c r="W441" s="373">
        <f t="shared" si="326"/>
        <v>0</v>
      </c>
      <c r="X441" s="373">
        <f t="shared" si="344"/>
        <v>0.25</v>
      </c>
      <c r="Y441" s="373">
        <f t="shared" si="345"/>
        <v>0.22</v>
      </c>
      <c r="Z441" s="373">
        <f t="shared" si="327"/>
        <v>0</v>
      </c>
      <c r="AA441" s="373">
        <f t="shared" si="328"/>
        <v>0</v>
      </c>
      <c r="AB441" s="373">
        <f t="shared" si="346"/>
        <v>0.25</v>
      </c>
      <c r="AC441" s="373">
        <f t="shared" si="347"/>
        <v>0.22</v>
      </c>
      <c r="AE441" s="373">
        <f t="shared" si="329"/>
        <v>0</v>
      </c>
      <c r="AF441" s="373">
        <f t="shared" si="354"/>
        <v>0</v>
      </c>
      <c r="AG441" s="373">
        <f t="shared" si="331"/>
        <v>0</v>
      </c>
      <c r="AH441" s="373">
        <f t="shared" si="331"/>
        <v>0</v>
      </c>
      <c r="AI441" s="373">
        <f t="shared" si="332"/>
        <v>0</v>
      </c>
      <c r="AJ441" s="373">
        <f t="shared" si="332"/>
        <v>0</v>
      </c>
      <c r="AK441" s="373">
        <f t="shared" si="333"/>
        <v>0</v>
      </c>
      <c r="AL441" s="373">
        <f t="shared" si="333"/>
        <v>0</v>
      </c>
      <c r="AM441" s="373">
        <f t="shared" si="334"/>
        <v>0</v>
      </c>
      <c r="AN441" s="373">
        <f t="shared" si="335"/>
        <v>0</v>
      </c>
      <c r="AO441" s="373">
        <f t="shared" si="336"/>
        <v>0</v>
      </c>
      <c r="AP441" s="373">
        <f t="shared" si="336"/>
        <v>0</v>
      </c>
      <c r="AQ441" s="373">
        <f t="shared" si="337"/>
        <v>0</v>
      </c>
      <c r="AR441" s="373">
        <f t="shared" si="337"/>
        <v>0</v>
      </c>
      <c r="AS441" s="373">
        <f t="shared" si="338"/>
        <v>0</v>
      </c>
      <c r="AT441" s="373">
        <f t="shared" si="338"/>
        <v>0</v>
      </c>
      <c r="AU441" s="373">
        <f t="shared" si="339"/>
        <v>0</v>
      </c>
      <c r="AV441"/>
    </row>
    <row r="442" spans="1:48" x14ac:dyDescent="0.35">
      <c r="AV442"/>
    </row>
    <row r="443" spans="1:48" ht="26" x14ac:dyDescent="0.6">
      <c r="B443" s="376" t="s">
        <v>187</v>
      </c>
      <c r="C443" s="148">
        <f>SUM(AU422:AU441)</f>
        <v>0</v>
      </c>
      <c r="D443" s="149" t="s">
        <v>15</v>
      </c>
    </row>
    <row r="445" spans="1:48" x14ac:dyDescent="0.35">
      <c r="B445" s="51" t="s">
        <v>745</v>
      </c>
    </row>
    <row r="447" spans="1:48" x14ac:dyDescent="0.35">
      <c r="B447" s="522" t="s">
        <v>588</v>
      </c>
      <c r="C447" s="523"/>
      <c r="D447" s="523"/>
      <c r="E447" s="523"/>
      <c r="F447" s="523"/>
      <c r="G447" s="523"/>
      <c r="H447" s="523"/>
      <c r="I447" s="524"/>
      <c r="J447" s="522" t="s">
        <v>205</v>
      </c>
      <c r="K447" s="523"/>
      <c r="L447" s="523"/>
      <c r="M447" s="523"/>
      <c r="N447" s="523"/>
      <c r="O447" s="523"/>
      <c r="P447" s="523"/>
      <c r="Q447" s="523"/>
      <c r="S447"/>
      <c r="T447"/>
    </row>
    <row r="448" spans="1:48" ht="15" customHeight="1" x14ac:dyDescent="0.35">
      <c r="B448" s="525" t="s">
        <v>432</v>
      </c>
      <c r="C448" s="526"/>
      <c r="D448" s="526"/>
      <c r="E448" s="527"/>
      <c r="F448" s="525" t="s">
        <v>585</v>
      </c>
      <c r="G448" s="526"/>
      <c r="H448" s="526"/>
      <c r="I448" s="527"/>
      <c r="J448" s="525" t="s">
        <v>432</v>
      </c>
      <c r="K448" s="526"/>
      <c r="L448" s="526"/>
      <c r="M448" s="527"/>
      <c r="N448" s="525" t="s">
        <v>585</v>
      </c>
      <c r="O448" s="526"/>
      <c r="P448" s="526"/>
      <c r="Q448" s="527"/>
      <c r="S448"/>
      <c r="T448"/>
    </row>
    <row r="449" spans="1:20" ht="58" x14ac:dyDescent="0.35">
      <c r="B449" s="365" t="s">
        <v>452</v>
      </c>
      <c r="C449" s="112" t="s">
        <v>476</v>
      </c>
      <c r="D449" s="309" t="s">
        <v>453</v>
      </c>
      <c r="E449" s="309" t="s">
        <v>468</v>
      </c>
      <c r="F449" s="365" t="s">
        <v>462</v>
      </c>
      <c r="G449" s="365" t="s">
        <v>530</v>
      </c>
      <c r="H449" s="309" t="s">
        <v>586</v>
      </c>
      <c r="I449" s="309" t="s">
        <v>587</v>
      </c>
      <c r="J449" s="365" t="s">
        <v>452</v>
      </c>
      <c r="K449" s="112" t="s">
        <v>476</v>
      </c>
      <c r="L449" s="309" t="s">
        <v>453</v>
      </c>
      <c r="M449" s="309" t="s">
        <v>468</v>
      </c>
      <c r="N449" s="365" t="s">
        <v>462</v>
      </c>
      <c r="O449" s="365" t="s">
        <v>530</v>
      </c>
      <c r="P449" s="309" t="s">
        <v>586</v>
      </c>
      <c r="Q449" s="309" t="s">
        <v>587</v>
      </c>
      <c r="S449"/>
      <c r="T449"/>
    </row>
    <row r="450" spans="1:20" x14ac:dyDescent="0.35">
      <c r="A450" s="130">
        <v>1</v>
      </c>
      <c r="B450" s="117">
        <f>IF(ISERROR(IF($C127='Données d''entrée'!$B$370,(B422+C422+F422+G422+J422+K422-AE422-AF422-AG422-AH422-AI422-AJ422)*'Données d''entrée'!$C$372,(B422+F422+J422-AE422-AG422-AI422))),0,IF($C127='Données d''entrée'!$B$370,(B422+C422+F422+G422+J422+K422-AE422-AF422-AG422-AH422-AI422-AJ422)*'Données d''entrée'!$C$372,(B422+F422+J422-AE422-AG422-AI422)))</f>
        <v>0</v>
      </c>
      <c r="C450" s="117">
        <f>IF(ISERROR(IF($C127='Données d''entrée'!$B$370,(($C$41*C48+$D$41*D48+$E$41*E48)*(1-$C$38)*'Données d''entrée'!$C$374)+B450,($C$41*C48+$D$41*D48+$E$41*E48)*D75-AE422-AG422-AI422)),0,IF($C127='Données d''entrée'!$B$370,(($C$41*C48+$D$41*D48+$E$41*E48)*(1-$C$38)*'Données d''entrée'!$C$374)+B450,($C$41*C48+$D$41*D48+$E$41*E48)*D75-AE422-AG422-AI422))</f>
        <v>0</v>
      </c>
      <c r="D450" s="117">
        <f>IF(ISERROR(IF($C127='Données d''entrée'!$B$370,(B422+C422+F422+G422+J422+K422-AE422-AF422-AG422-AH422-AI422-AJ422)*'Données d''entrée'!$C$371,(C422+G422+K422-AF422-AH422-AJ422))),0,IF($C127='Données d''entrée'!$B$370,(B422+C422+F422+G422+J422+K422-AE422-AF422-AG422-AH422-AI422-AJ422)*'Données d''entrée'!$C$371,(C422+G422+K422-AF422-AH422-AJ422)))</f>
        <v>0</v>
      </c>
      <c r="E450" s="117">
        <f>IF(ISERROR(IF($C127='Données d''entrée'!$B$370,(($C$41*C48+$D$41*D48+$E$41*E48)*(1-$C$38)*'Données d''entrée'!$C$373)+D450,($C$41*C48+$D$41*D48+$E$41*E48)*E75-AF422-AH422-AJ422)),0,IF($C127='Données d''entrée'!$B$370,(($C$41*C48+$D$41*D48+$E$41*E48)*(1-$C$38)*'Données d''entrée'!$C$373)+D450,($C$41*C48+$D$41*D48+$E$41*E48)*E75-AF422-AH422-AJ422))</f>
        <v>0</v>
      </c>
      <c r="F450" s="373">
        <f>Q127</f>
        <v>0</v>
      </c>
      <c r="G450" s="373">
        <f>R127</f>
        <v>0</v>
      </c>
      <c r="H450" s="117">
        <f>B450-F450</f>
        <v>0</v>
      </c>
      <c r="I450" s="117">
        <f>C450+G450</f>
        <v>0</v>
      </c>
      <c r="J450" s="117">
        <f>IF(ISERROR(IF($C127='Données d''entrée'!$B$370,(N422+O422+R422+S422+V422+W422+Z422+AA422-AK422-AL422-AM422-AN422-AO422-AP422-AQ422-AR422)*'Données d''entrée'!$C$372,(N422+R422+V422+Z422-AK422-AM422-AO422-AQ422))),0,IF($C127='Données d''entrée'!$B$370,(N422+O422+R422+S422+V422+W422+Z422+AA422-AK422-AL422-AM422-AN422-AO422-AP422-AQ422-AR422)*'Données d''entrée'!$C$372,(N422+R422+V422+Z422-AK422-AM422-AO422-AQ422)))</f>
        <v>0</v>
      </c>
      <c r="K450" s="117">
        <f>IF(ISERROR(IF($C127='Données d''entrée'!$B$370,(($F$41*F48+$G$41*G48+$H$41*H48+$I$41*I48)*(1-$C$38)*'Données d''entrée'!$C$374)+J450,($F$41*F48+$G$41*G48+$H$41*H48+$I$41*I48)*D75-AK422-AM422-AO422-AQ422)),0,IF($C127='Données d''entrée'!$B$370,(($F$41*F48+$G$41*G48+$H$41*H48+$I$41*I48)*(1-$C$38)*'Données d''entrée'!$C$374)+J450,($F$41*F48+$G$41*G48+$H$41*H48+$I$41*I48)*D75-AK422-AM422-AO422-AQ422))</f>
        <v>0</v>
      </c>
      <c r="L450" s="117">
        <f>IF(ISERROR(IF($C127='Données d''entrée'!$B$370,(N422+O422+R422+S422+V422+W422+Z422+AA422-AK422-AL422-AM422-AN422-AO422-AP422-AQ422-AR422)*'Données d''entrée'!$C$371,(O422+S422+W422+AA422-AL422-AN422-AP422-AR422))),0,IF($C127='Données d''entrée'!$B$370,(N422+O422+R422+S422+V422+W422+Z422+AA422-AK422-AL422-AM422-AN422-AO422-AP422-AQ422-AR422)*'Données d''entrée'!$C$371,(O422+S422+W422+AA422-AL422-AN422-AP422-AR422)))</f>
        <v>0</v>
      </c>
      <c r="M450" s="117">
        <f>IF(ISERROR(IF($C127='Données d''entrée'!$B$370,(($F$41*F48+$G$41*G48+$H$41*H48+$I$41*I48)*(1-$C$38)*'Données d''entrée'!$C$373)+L450,($F$41*F48+$G$41*G48+$H$41*H48+$I$41*I48)*E75-AL422-AN422-AP422-AR422)),0,IF($C127='Données d''entrée'!$B$370,(($F$41*F48+$G$41*G48+$H$41*H48+$I$41*I48)*(1-$C$38)*'Données d''entrée'!$C$373)+L450,($F$41*F48+$G$41*G48+$H$41*H48+$I$41*I48)*E75-AL422-AN422-AP422-AR422))</f>
        <v>0</v>
      </c>
      <c r="N450" s="373">
        <f>Y127</f>
        <v>0</v>
      </c>
      <c r="O450" s="373">
        <f>Z127</f>
        <v>0</v>
      </c>
      <c r="P450" s="117">
        <f>J450-N450</f>
        <v>0</v>
      </c>
      <c r="Q450" s="117">
        <f>K450+O450</f>
        <v>0</v>
      </c>
      <c r="S450"/>
      <c r="T450"/>
    </row>
    <row r="451" spans="1:20" x14ac:dyDescent="0.35">
      <c r="A451" s="130">
        <v>2</v>
      </c>
      <c r="B451" s="117">
        <f>IF(ISERROR(IF($C128='Données d''entrée'!$B$370,(B423+C423+F423+G423+J423+K423-AE423-AF423-AG423-AH423-AI423-AJ423)*'Données d''entrée'!$C$372,(B423+F423+J423-AE423-AG423-AI423))),0,IF($C128='Données d''entrée'!$B$370,(B423+C423+F423+G423+J423+K423-AE423-AF423-AG423-AH423-AI423-AJ423)*'Données d''entrée'!$C$372,(B423+F423+J423-AE423-AG423-AI423)))</f>
        <v>0</v>
      </c>
      <c r="C451" s="117">
        <f>IF(ISERROR(IF($C128='Données d''entrée'!$B$370,(($C$41*C49+$D$41*D49+$E$41*E49)*(1-$C$38)*'Données d''entrée'!$C$374)+B451,($C$41*C49+$D$41*D49+$E$41*E49)*D76-AE423-AG423-AI423)),0,IF($C128='Données d''entrée'!$B$370,(($C$41*C49+$D$41*D49+$E$41*E49)*(1-$C$38)*'Données d''entrée'!$C$374)+B451,($C$41*C49+$D$41*D49+$E$41*E49)*D76-AE423-AG423-AI423))</f>
        <v>0</v>
      </c>
      <c r="D451" s="117">
        <f>IF(ISERROR(IF($C128='Données d''entrée'!$B$370,(B423+C423+F423+G423+J423+K423-AE423-AF423-AG423-AH423-AI423-AJ423)*'Données d''entrée'!$C$371,(C423+G423+K423-AF423-AH423-AJ423))),0,IF($C128='Données d''entrée'!$B$370,(B423+C423+F423+G423+J423+K423-AE423-AF423-AG423-AH423-AI423-AJ423)*'Données d''entrée'!$C$371,(C423+G423+K423-AF423-AH423-AJ423)))</f>
        <v>0</v>
      </c>
      <c r="E451" s="117">
        <f>IF(ISERROR(IF($C128='Données d''entrée'!$B$370,(($C$41*C49+$D$41*D49+$E$41*E49)*(1-$C$38)*'Données d''entrée'!$C$373)+D451,($C$41*C49+$D$41*D49+$E$41*E49)*E76-AF423-AH423-AJ423)),0,IF($C128='Données d''entrée'!$B$370,(($C$41*C49+$D$41*D49+$E$41*E49)*(1-$C$38)*'Données d''entrée'!$C$373)+D451,($C$41*C49+$D$41*D49+$E$41*E49)*E76-AF423-AH423-AJ423))</f>
        <v>0</v>
      </c>
      <c r="F451" s="373">
        <f t="shared" ref="F451:G451" si="355">Q128</f>
        <v>0</v>
      </c>
      <c r="G451" s="373">
        <f t="shared" si="355"/>
        <v>0</v>
      </c>
      <c r="H451" s="117">
        <f t="shared" ref="H451:H469" si="356">B451-F451</f>
        <v>0</v>
      </c>
      <c r="I451" s="117">
        <f t="shared" ref="I451:I469" si="357">C451+G451</f>
        <v>0</v>
      </c>
      <c r="J451" s="117">
        <f>IF(ISERROR(IF($C128='Données d''entrée'!$B$370,(N423+O423+R423+S423+V423+W423+Z423+AA423-AK423-AL423-AM423-AN423-AO423-AP423-AQ423-AR423)*'Données d''entrée'!$C$372,(N423+R423+V423+Z423-AK423-AM423-AO423-AQ423))),0,IF($C128='Données d''entrée'!$B$370,(N423+O423+R423+S423+V423+W423+Z423+AA423-AK423-AL423-AM423-AN423-AO423-AP423-AQ423-AR423)*'Données d''entrée'!$C$372,(N423+R423+V423+Z423-AK423-AM423-AO423-AQ423)))</f>
        <v>0</v>
      </c>
      <c r="K451" s="117">
        <f>IF(ISERROR(IF($C128='Données d''entrée'!$B$370,(($F$41*F49+$G$41*G49+$H$41*H49+$I$41*I49)*(1-$C$38)*'Données d''entrée'!$C$374)+J451,($F$41*F49+$G$41*G49+$H$41*H49+$I$41*I49)*D76-AK423-AM423-AO423-AQ423)),0,IF($C128='Données d''entrée'!$B$370,(($F$41*F49+$G$41*G49+$H$41*H49+$I$41*I49)*(1-$C$38)*'Données d''entrée'!$C$374)+J451,($F$41*F49+$G$41*G49+$H$41*H49+$I$41*I49)*D76-AK423-AM423-AO423-AQ423))</f>
        <v>0</v>
      </c>
      <c r="L451" s="117">
        <f>IF(ISERROR(IF($C128='Données d''entrée'!$B$370,(N423+O423+R423+S423+V423+W423+Z423+AA423-AK423-AL423-AM423-AN423-AO423-AP423-AQ423-AR423)*'Données d''entrée'!$C$371,(O423+S423+W423+AA423-AL423-AN423-AP423-AR423))),0,IF($C128='Données d''entrée'!$B$370,(N423+O423+R423+S423+V423+W423+Z423+AA423-AK423-AL423-AM423-AN423-AO423-AP423-AQ423-AR423)*'Données d''entrée'!$C$371,(O423+S423+W423+AA423-AL423-AN423-AP423-AR423)))</f>
        <v>0</v>
      </c>
      <c r="M451" s="117">
        <f>IF(ISERROR(IF($C128='Données d''entrée'!$B$370,(($F$41*F49+$G$41*G49+$H$41*H49+$I$41*I49)*(1-$C$38)*'Données d''entrée'!$C$373)+L451,($F$41*F49+$G$41*G49+$H$41*H49+$I$41*I49)*E76-AL423-AN423-AP423-AR423)),0,IF($C128='Données d''entrée'!$B$370,(($F$41*F49+$G$41*G49+$H$41*H49+$I$41*I49)*(1-$C$38)*'Données d''entrée'!$C$373)+L451,($F$41*F49+$G$41*G49+$H$41*H49+$I$41*I49)*E76-AL423-AN423-AP423-AR423))</f>
        <v>0</v>
      </c>
      <c r="N451" s="373">
        <f t="shared" ref="N451:O451" si="358">Y128</f>
        <v>0</v>
      </c>
      <c r="O451" s="373">
        <f t="shared" si="358"/>
        <v>0</v>
      </c>
      <c r="P451" s="117">
        <f t="shared" ref="P451:P469" si="359">J451-N451</f>
        <v>0</v>
      </c>
      <c r="Q451" s="117">
        <f t="shared" ref="Q451:Q469" si="360">K451+O451</f>
        <v>0</v>
      </c>
      <c r="S451"/>
      <c r="T451"/>
    </row>
    <row r="452" spans="1:20" x14ac:dyDescent="0.35">
      <c r="A452" s="130">
        <v>3</v>
      </c>
      <c r="B452" s="117">
        <f>IF(ISERROR(IF($C129='Données d''entrée'!$B$370,(B424+C424+F424+G424+J424+K424-AE424-AF424-AG424-AH424-AI424-AJ424)*'Données d''entrée'!$C$372,(B424+F424+J424-AE424-AG424-AI424))),0,IF($C129='Données d''entrée'!$B$370,(B424+C424+F424+G424+J424+K424-AE424-AF424-AG424-AH424-AI424-AJ424)*'Données d''entrée'!$C$372,(B424+F424+J424-AE424-AG424-AI424)))</f>
        <v>0</v>
      </c>
      <c r="C452" s="117">
        <f>IF(ISERROR(IF($C129='Données d''entrée'!$B$370,(($C$41*C50+$D$41*D50+$E$41*E50)*(1-$C$38)*'Données d''entrée'!$C$374)+B452,($C$41*C50+$D$41*D50+$E$41*E50)*D77-AE424-AG424-AI424)),0,IF($C129='Données d''entrée'!$B$370,(($C$41*C50+$D$41*D50+$E$41*E50)*(1-$C$38)*'Données d''entrée'!$C$374)+B452,($C$41*C50+$D$41*D50+$E$41*E50)*D77-AE424-AG424-AI424))</f>
        <v>0</v>
      </c>
      <c r="D452" s="117">
        <f>IF(ISERROR(IF($C129='Données d''entrée'!$B$370,(B424+C424+F424+G424+J424+K424-AE424-AF424-AG424-AH424-AI424-AJ424)*'Données d''entrée'!$C$371,(C424+G424+K424-AF424-AH424-AJ424))),0,IF($C129='Données d''entrée'!$B$370,(B424+C424+F424+G424+J424+K424-AE424-AF424-AG424-AH424-AI424-AJ424)*'Données d''entrée'!$C$371,(C424+G424+K424-AF424-AH424-AJ424)))</f>
        <v>0</v>
      </c>
      <c r="E452" s="117">
        <f>IF(ISERROR(IF($C129='Données d''entrée'!$B$370,(($C$41*C50+$D$41*D50+$E$41*E50)*(1-$C$38)*'Données d''entrée'!$C$373)+D452,($C$41*C50+$D$41*D50+$E$41*E50)*E77-AF424-AH424-AJ424)),0,IF($C129='Données d''entrée'!$B$370,(($C$41*C50+$D$41*D50+$E$41*E50)*(1-$C$38)*'Données d''entrée'!$C$373)+D452,($C$41*C50+$D$41*D50+$E$41*E50)*E77-AF424-AH424-AJ424))</f>
        <v>0</v>
      </c>
      <c r="F452" s="373">
        <f t="shared" ref="F452:G452" si="361">Q129</f>
        <v>0</v>
      </c>
      <c r="G452" s="373">
        <f t="shared" si="361"/>
        <v>0</v>
      </c>
      <c r="H452" s="117">
        <f t="shared" si="356"/>
        <v>0</v>
      </c>
      <c r="I452" s="117">
        <f t="shared" si="357"/>
        <v>0</v>
      </c>
      <c r="J452" s="117">
        <f>IF(ISERROR(IF($C129='Données d''entrée'!$B$370,(N424+O424+R424+S424+V424+W424+Z424+AA424-AK424-AL424-AM424-AN424-AO424-AP424-AQ424-AR424)*'Données d''entrée'!$C$372,(N424+R424+V424+Z424-AK424-AM424-AO424-AQ424))),0,IF($C129='Données d''entrée'!$B$370,(N424+O424+R424+S424+V424+W424+Z424+AA424-AK424-AL424-AM424-AN424-AO424-AP424-AQ424-AR424)*'Données d''entrée'!$C$372,(N424+R424+V424+Z424-AK424-AM424-AO424-AQ424)))</f>
        <v>0</v>
      </c>
      <c r="K452" s="117">
        <f>IF(ISERROR(IF($C129='Données d''entrée'!$B$370,(($F$41*F50+$G$41*G50+$H$41*H50+$I$41*I50)*(1-$C$38)*'Données d''entrée'!$C$374)+J452,($F$41*F50+$G$41*G50+$H$41*H50+$I$41*I50)*D77-AK424-AM424-AO424-AQ424)),0,IF($C129='Données d''entrée'!$B$370,(($F$41*F50+$G$41*G50+$H$41*H50+$I$41*I50)*(1-$C$38)*'Données d''entrée'!$C$374)+J452,($F$41*F50+$G$41*G50+$H$41*H50+$I$41*I50)*D77-AK424-AM424-AO424-AQ424))</f>
        <v>0</v>
      </c>
      <c r="L452" s="117">
        <f>IF(ISERROR(IF($C129='Données d''entrée'!$B$370,(N424+O424+R424+S424+V424+W424+Z424+AA424-AK424-AL424-AM424-AN424-AO424-AP424-AQ424-AR424)*'Données d''entrée'!$C$371,(O424+S424+W424+AA424-AL424-AN424-AP424-AR424))),0,IF($C129='Données d''entrée'!$B$370,(N424+O424+R424+S424+V424+W424+Z424+AA424-AK424-AL424-AM424-AN424-AO424-AP424-AQ424-AR424)*'Données d''entrée'!$C$371,(O424+S424+W424+AA424-AL424-AN424-AP424-AR424)))</f>
        <v>0</v>
      </c>
      <c r="M452" s="117">
        <f>IF(ISERROR(IF($C129='Données d''entrée'!$B$370,(($F$41*F50+$G$41*G50+$H$41*H50+$I$41*I50)*(1-$C$38)*'Données d''entrée'!$C$373)+L452,($F$41*F50+$G$41*G50+$H$41*H50+$I$41*I50)*E77-AL424-AN424-AP424-AR424)),0,IF($C129='Données d''entrée'!$B$370,(($F$41*F50+$G$41*G50+$H$41*H50+$I$41*I50)*(1-$C$38)*'Données d''entrée'!$C$373)+L452,($F$41*F50+$G$41*G50+$H$41*H50+$I$41*I50)*E77-AL424-AN424-AP424-AR424))</f>
        <v>0</v>
      </c>
      <c r="N452" s="373">
        <f t="shared" ref="N452:O452" si="362">Y129</f>
        <v>0</v>
      </c>
      <c r="O452" s="373">
        <f t="shared" si="362"/>
        <v>0</v>
      </c>
      <c r="P452" s="117">
        <f t="shared" si="359"/>
        <v>0</v>
      </c>
      <c r="Q452" s="117">
        <f t="shared" si="360"/>
        <v>0</v>
      </c>
      <c r="S452"/>
      <c r="T452"/>
    </row>
    <row r="453" spans="1:20" x14ac:dyDescent="0.35">
      <c r="A453" s="130">
        <v>4</v>
      </c>
      <c r="B453" s="117">
        <f>IF(ISERROR(IF($C130='Données d''entrée'!$B$370,(B425+C425+F425+G425+J425+K425-AE425-AF425-AG425-AH425-AI425-AJ425)*'Données d''entrée'!$C$372,(B425+F425+J425-AE425-AG425-AI425))),0,IF($C130='Données d''entrée'!$B$370,(B425+C425+F425+G425+J425+K425-AE425-AF425-AG425-AH425-AI425-AJ425)*'Données d''entrée'!$C$372,(B425+F425+J425-AE425-AG425-AI425)))</f>
        <v>0</v>
      </c>
      <c r="C453" s="117">
        <f>IF(ISERROR(IF($C130='Données d''entrée'!$B$370,(($C$41*C51+$D$41*D51+$E$41*E51)*(1-$C$38)*'Données d''entrée'!$C$374)+B453,($C$41*C51+$D$41*D51+$E$41*E51)*D78-AE425-AG425-AI425)),0,IF($C130='Données d''entrée'!$B$370,(($C$41*C51+$D$41*D51+$E$41*E51)*(1-$C$38)*'Données d''entrée'!$C$374)+B453,($C$41*C51+$D$41*D51+$E$41*E51)*D78-AE425-AG425-AI425))</f>
        <v>0</v>
      </c>
      <c r="D453" s="117">
        <f>IF(ISERROR(IF($C130='Données d''entrée'!$B$370,(B425+C425+F425+G425+J425+K425-AE425-AF425-AG425-AH425-AI425-AJ425)*'Données d''entrée'!$C$371,(C425+G425+K425-AF425-AH425-AJ425))),0,IF($C130='Données d''entrée'!$B$370,(B425+C425+F425+G425+J425+K425-AE425-AF425-AG425-AH425-AI425-AJ425)*'Données d''entrée'!$C$371,(C425+G425+K425-AF425-AH425-AJ425)))</f>
        <v>0</v>
      </c>
      <c r="E453" s="117">
        <f>IF(ISERROR(IF($C130='Données d''entrée'!$B$370,(($C$41*C51+$D$41*D51+$E$41*E51)*(1-$C$38)*'Données d''entrée'!$C$373)+D453,($C$41*C51+$D$41*D51+$E$41*E51)*E78-AF425-AH425-AJ425)),0,IF($C130='Données d''entrée'!$B$370,(($C$41*C51+$D$41*D51+$E$41*E51)*(1-$C$38)*'Données d''entrée'!$C$373)+D453,($C$41*C51+$D$41*D51+$E$41*E51)*E78-AF425-AH425-AJ425))</f>
        <v>0</v>
      </c>
      <c r="F453" s="373">
        <f t="shared" ref="F453:G453" si="363">Q130</f>
        <v>0</v>
      </c>
      <c r="G453" s="373">
        <f t="shared" si="363"/>
        <v>0</v>
      </c>
      <c r="H453" s="117">
        <f t="shared" si="356"/>
        <v>0</v>
      </c>
      <c r="I453" s="117">
        <f t="shared" si="357"/>
        <v>0</v>
      </c>
      <c r="J453" s="117">
        <f>IF(ISERROR(IF($C130='Données d''entrée'!$B$370,(N425+O425+R425+S425+V425+W425+Z425+AA425-AK425-AL425-AM425-AN425-AO425-AP425-AQ425-AR425)*'Données d''entrée'!$C$372,(N425+R425+V425+Z425-AK425-AM425-AO425-AQ425))),0,IF($C130='Données d''entrée'!$B$370,(N425+O425+R425+S425+V425+W425+Z425+AA425-AK425-AL425-AM425-AN425-AO425-AP425-AQ425-AR425)*'Données d''entrée'!$C$372,(N425+R425+V425+Z425-AK425-AM425-AO425-AQ425)))</f>
        <v>0</v>
      </c>
      <c r="K453" s="117">
        <f>IF(ISERROR(IF($C130='Données d''entrée'!$B$370,(($F$41*F51+$G$41*G51+$H$41*H51+$I$41*I51)*(1-$C$38)*'Données d''entrée'!$C$374)+J453,($F$41*F51+$G$41*G51+$H$41*H51+$I$41*I51)*D78-AK425-AM425-AO425-AQ425)),0,IF($C130='Données d''entrée'!$B$370,(($F$41*F51+$G$41*G51+$H$41*H51+$I$41*I51)*(1-$C$38)*'Données d''entrée'!$C$374)+J453,($F$41*F51+$G$41*G51+$H$41*H51+$I$41*I51)*D78-AK425-AM425-AO425-AQ425))</f>
        <v>0</v>
      </c>
      <c r="L453" s="117">
        <f>IF(ISERROR(IF($C130='Données d''entrée'!$B$370,(N425+O425+R425+S425+V425+W425+Z425+AA425-AK425-AL425-AM425-AN425-AO425-AP425-AQ425-AR425)*'Données d''entrée'!$C$371,(O425+S425+W425+AA425-AL425-AN425-AP425-AR425))),0,IF($C130='Données d''entrée'!$B$370,(N425+O425+R425+S425+V425+W425+Z425+AA425-AK425-AL425-AM425-AN425-AO425-AP425-AQ425-AR425)*'Données d''entrée'!$C$371,(O425+S425+W425+AA425-AL425-AN425-AP425-AR425)))</f>
        <v>0</v>
      </c>
      <c r="M453" s="117">
        <f>IF(ISERROR(IF($C130='Données d''entrée'!$B$370,(($F$41*F51+$G$41*G51+$H$41*H51+$I$41*I51)*(1-$C$38)*'Données d''entrée'!$C$373)+L453,($F$41*F51+$G$41*G51+$H$41*H51+$I$41*I51)*E78-AL425-AN425-AP425-AR425)),0,IF($C130='Données d''entrée'!$B$370,(($F$41*F51+$G$41*G51+$H$41*H51+$I$41*I51)*(1-$C$38)*'Données d''entrée'!$C$373)+L453,($F$41*F51+$G$41*G51+$H$41*H51+$I$41*I51)*E78-AL425-AN425-AP425-AR425))</f>
        <v>0</v>
      </c>
      <c r="N453" s="373">
        <f t="shared" ref="N453:O453" si="364">Y130</f>
        <v>0</v>
      </c>
      <c r="O453" s="373">
        <f t="shared" si="364"/>
        <v>0</v>
      </c>
      <c r="P453" s="117">
        <f t="shared" si="359"/>
        <v>0</v>
      </c>
      <c r="Q453" s="117">
        <f t="shared" si="360"/>
        <v>0</v>
      </c>
    </row>
    <row r="454" spans="1:20" x14ac:dyDescent="0.35">
      <c r="A454" s="130">
        <v>5</v>
      </c>
      <c r="B454" s="117">
        <f>IF(ISERROR(IF($C131='Données d''entrée'!$B$370,(B426+C426+F426+G426+J426+K426-AE426-AF426-AG426-AH426-AI426-AJ426)*'Données d''entrée'!$C$372,(B426+F426+J426-AE426-AG426-AI426))),0,IF($C131='Données d''entrée'!$B$370,(B426+C426+F426+G426+J426+K426-AE426-AF426-AG426-AH426-AI426-AJ426)*'Données d''entrée'!$C$372,(B426+F426+J426-AE426-AG426-AI426)))</f>
        <v>0</v>
      </c>
      <c r="C454" s="117">
        <f>IF(ISERROR(IF($C131='Données d''entrée'!$B$370,(($C$41*C52+$D$41*D52+$E$41*E52)*(1-$C$38)*'Données d''entrée'!$C$374)+B454,($C$41*C52+$D$41*D52+$E$41*E52)*D79-AE426-AG426-AI426)),0,IF($C131='Données d''entrée'!$B$370,(($C$41*C52+$D$41*D52+$E$41*E52)*(1-$C$38)*'Données d''entrée'!$C$374)+B454,($C$41*C52+$D$41*D52+$E$41*E52)*D79-AE426-AG426-AI426))</f>
        <v>0</v>
      </c>
      <c r="D454" s="117">
        <f>IF(ISERROR(IF($C131='Données d''entrée'!$B$370,(B426+C426+F426+G426+J426+K426-AE426-AF426-AG426-AH426-AI426-AJ426)*'Données d''entrée'!$C$371,(C426+G426+K426-AF426-AH426-AJ426))),0,IF($C131='Données d''entrée'!$B$370,(B426+C426+F426+G426+J426+K426-AE426-AF426-AG426-AH426-AI426-AJ426)*'Données d''entrée'!$C$371,(C426+G426+K426-AF426-AH426-AJ426)))</f>
        <v>0</v>
      </c>
      <c r="E454" s="117">
        <f>IF(ISERROR(IF($C131='Données d''entrée'!$B$370,(($C$41*C52+$D$41*D52+$E$41*E52)*(1-$C$38)*'Données d''entrée'!$C$373)+D454,($C$41*C52+$D$41*D52+$E$41*E52)*E79-AF426-AH426-AJ426)),0,IF($C131='Données d''entrée'!$B$370,(($C$41*C52+$D$41*D52+$E$41*E52)*(1-$C$38)*'Données d''entrée'!$C$373)+D454,($C$41*C52+$D$41*D52+$E$41*E52)*E79-AF426-AH426-AJ426))</f>
        <v>0</v>
      </c>
      <c r="F454" s="373">
        <f t="shared" ref="F454:G454" si="365">Q131</f>
        <v>0</v>
      </c>
      <c r="G454" s="373">
        <f t="shared" si="365"/>
        <v>0</v>
      </c>
      <c r="H454" s="117">
        <f t="shared" si="356"/>
        <v>0</v>
      </c>
      <c r="I454" s="117">
        <f t="shared" si="357"/>
        <v>0</v>
      </c>
      <c r="J454" s="117">
        <f>IF(ISERROR(IF($C131='Données d''entrée'!$B$370,(N426+O426+R426+S426+V426+W426+Z426+AA426-AK426-AL426-AM426-AN426-AO426-AP426-AQ426-AR426)*'Données d''entrée'!$C$372,(N426+R426+V426+Z426-AK426-AM426-AO426-AQ426))),0,IF($C131='Données d''entrée'!$B$370,(N426+O426+R426+S426+V426+W426+Z426+AA426-AK426-AL426-AM426-AN426-AO426-AP426-AQ426-AR426)*'Données d''entrée'!$C$372,(N426+R426+V426+Z426-AK426-AM426-AO426-AQ426)))</f>
        <v>0</v>
      </c>
      <c r="K454" s="117">
        <f>IF(ISERROR(IF($C131='Données d''entrée'!$B$370,(($F$41*F52+$G$41*G52+$H$41*H52+$I$41*I52)*(1-$C$38)*'Données d''entrée'!$C$374)+J454,($F$41*F52+$G$41*G52+$H$41*H52+$I$41*I52)*D79-AK426-AM426-AO426-AQ426)),0,IF($C131='Données d''entrée'!$B$370,(($F$41*F52+$G$41*G52+$H$41*H52+$I$41*I52)*(1-$C$38)*'Données d''entrée'!$C$374)+J454,($F$41*F52+$G$41*G52+$H$41*H52+$I$41*I52)*D79-AK426-AM426-AO426-AQ426))</f>
        <v>0</v>
      </c>
      <c r="L454" s="117">
        <f>IF(ISERROR(IF($C131='Données d''entrée'!$B$370,(N426+O426+R426+S426+V426+W426+Z426+AA426-AK426-AL426-AM426-AN426-AO426-AP426-AQ426-AR426)*'Données d''entrée'!$C$371,(O426+S426+W426+AA426-AL426-AN426-AP426-AR426))),0,IF($C131='Données d''entrée'!$B$370,(N426+O426+R426+S426+V426+W426+Z426+AA426-AK426-AL426-AM426-AN426-AO426-AP426-AQ426-AR426)*'Données d''entrée'!$C$371,(O426+S426+W426+AA426-AL426-AN426-AP426-AR426)))</f>
        <v>0</v>
      </c>
      <c r="M454" s="117">
        <f>IF(ISERROR(IF($C131='Données d''entrée'!$B$370,(($F$41*F52+$G$41*G52+$H$41*H52+$I$41*I52)*(1-$C$38)*'Données d''entrée'!$C$373)+L454,($F$41*F52+$G$41*G52+$H$41*H52+$I$41*I52)*E79-AL426-AN426-AP426-AR426)),0,IF($C131='Données d''entrée'!$B$370,(($F$41*F52+$G$41*G52+$H$41*H52+$I$41*I52)*(1-$C$38)*'Données d''entrée'!$C$373)+L454,($F$41*F52+$G$41*G52+$H$41*H52+$I$41*I52)*E79-AL426-AN426-AP426-AR426))</f>
        <v>0</v>
      </c>
      <c r="N454" s="373">
        <f t="shared" ref="N454:O454" si="366">Y131</f>
        <v>0</v>
      </c>
      <c r="O454" s="373">
        <f t="shared" si="366"/>
        <v>0</v>
      </c>
      <c r="P454" s="117">
        <f t="shared" si="359"/>
        <v>0</v>
      </c>
      <c r="Q454" s="117">
        <f t="shared" si="360"/>
        <v>0</v>
      </c>
    </row>
    <row r="455" spans="1:20" x14ac:dyDescent="0.35">
      <c r="A455" s="130">
        <v>6</v>
      </c>
      <c r="B455" s="117">
        <f>IF(ISERROR(IF($C132='Données d''entrée'!$B$370,(B427+C427+F427+G427+J427+K427-AE427-AF427-AG427-AH427-AI427-AJ427)*'Données d''entrée'!$C$372,(B427+F427+J427-AE427-AG427-AI427))),0,IF($C132='Données d''entrée'!$B$370,(B427+C427+F427+G427+J427+K427-AE427-AF427-AG427-AH427-AI427-AJ427)*'Données d''entrée'!$C$372,(B427+F427+J427-AE427-AG427-AI427)))</f>
        <v>0</v>
      </c>
      <c r="C455" s="117">
        <f>IF(ISERROR(IF($C132='Données d''entrée'!$B$370,(($C$41*C53+$D$41*D53+$E$41*E53)*(1-$C$38)*'Données d''entrée'!$C$374)+B455,($C$41*C53+$D$41*D53+$E$41*E53)*D80-AE427-AG427-AI427)),0,IF($C132='Données d''entrée'!$B$370,(($C$41*C53+$D$41*D53+$E$41*E53)*(1-$C$38)*'Données d''entrée'!$C$374)+B455,($C$41*C53+$D$41*D53+$E$41*E53)*D80-AE427-AG427-AI427))</f>
        <v>0</v>
      </c>
      <c r="D455" s="117">
        <f>IF(ISERROR(IF($C132='Données d''entrée'!$B$370,(B427+C427+F427+G427+J427+K427-AE427-AF427-AG427-AH427-AI427-AJ427)*'Données d''entrée'!$C$371,(C427+G427+K427-AF427-AH427-AJ427))),0,IF($C132='Données d''entrée'!$B$370,(B427+C427+F427+G427+J427+K427-AE427-AF427-AG427-AH427-AI427-AJ427)*'Données d''entrée'!$C$371,(C427+G427+K427-AF427-AH427-AJ427)))</f>
        <v>0</v>
      </c>
      <c r="E455" s="117">
        <f>IF(ISERROR(IF($C132='Données d''entrée'!$B$370,(($C$41*C53+$D$41*D53+$E$41*E53)*(1-$C$38)*'Données d''entrée'!$C$373)+D455,($C$41*C53+$D$41*D53+$E$41*E53)*E80-AF427-AH427-AJ427)),0,IF($C132='Données d''entrée'!$B$370,(($C$41*C53+$D$41*D53+$E$41*E53)*(1-$C$38)*'Données d''entrée'!$C$373)+D455,($C$41*C53+$D$41*D53+$E$41*E53)*E80-AF427-AH427-AJ427))</f>
        <v>0</v>
      </c>
      <c r="F455" s="373">
        <f t="shared" ref="F455:G455" si="367">Q132</f>
        <v>0</v>
      </c>
      <c r="G455" s="373">
        <f t="shared" si="367"/>
        <v>0</v>
      </c>
      <c r="H455" s="117">
        <f t="shared" si="356"/>
        <v>0</v>
      </c>
      <c r="I455" s="117">
        <f t="shared" si="357"/>
        <v>0</v>
      </c>
      <c r="J455" s="117">
        <f>IF(ISERROR(IF($C132='Données d''entrée'!$B$370,(N427+O427+R427+S427+V427+W427+Z427+AA427-AK427-AL427-AM427-AN427-AO427-AP427-AQ427-AR427)*'Données d''entrée'!$C$372,(N427+R427+V427+Z427-AK427-AM427-AO427-AQ427))),0,IF($C132='Données d''entrée'!$B$370,(N427+O427+R427+S427+V427+W427+Z427+AA427-AK427-AL427-AM427-AN427-AO427-AP427-AQ427-AR427)*'Données d''entrée'!$C$372,(N427+R427+V427+Z427-AK427-AM427-AO427-AQ427)))</f>
        <v>0</v>
      </c>
      <c r="K455" s="117">
        <f>IF(ISERROR(IF($C132='Données d''entrée'!$B$370,(($F$41*F53+$G$41*G53+$H$41*H53+$I$41*I53)*(1-$C$38)*'Données d''entrée'!$C$374)+J455,($F$41*F53+$G$41*G53+$H$41*H53+$I$41*I53)*D80-AK427-AM427-AO427-AQ427)),0,IF($C132='Données d''entrée'!$B$370,(($F$41*F53+$G$41*G53+$H$41*H53+$I$41*I53)*(1-$C$38)*'Données d''entrée'!$C$374)+J455,($F$41*F53+$G$41*G53+$H$41*H53+$I$41*I53)*D80-AK427-AM427-AO427-AQ427))</f>
        <v>0</v>
      </c>
      <c r="L455" s="117">
        <f>IF(ISERROR(IF($C132='Données d''entrée'!$B$370,(N427+O427+R427+S427+V427+W427+Z427+AA427-AK427-AL427-AM427-AN427-AO427-AP427-AQ427-AR427)*'Données d''entrée'!$C$371,(O427+S427+W427+AA427-AL427-AN427-AP427-AR427))),0,IF($C132='Données d''entrée'!$B$370,(N427+O427+R427+S427+V427+W427+Z427+AA427-AK427-AL427-AM427-AN427-AO427-AP427-AQ427-AR427)*'Données d''entrée'!$C$371,(O427+S427+W427+AA427-AL427-AN427-AP427-AR427)))</f>
        <v>0</v>
      </c>
      <c r="M455" s="117">
        <f>IF(ISERROR(IF($C132='Données d''entrée'!$B$370,(($F$41*F53+$G$41*G53+$H$41*H53+$I$41*I53)*(1-$C$38)*'Données d''entrée'!$C$373)+L455,($F$41*F53+$G$41*G53+$H$41*H53+$I$41*I53)*E80-AL427-AN427-AP427-AR427)),0,IF($C132='Données d''entrée'!$B$370,(($F$41*F53+$G$41*G53+$H$41*H53+$I$41*I53)*(1-$C$38)*'Données d''entrée'!$C$373)+L455,($F$41*F53+$G$41*G53+$H$41*H53+$I$41*I53)*E80-AL427-AN427-AP427-AR427))</f>
        <v>0</v>
      </c>
      <c r="N455" s="373">
        <f t="shared" ref="N455:O455" si="368">Y132</f>
        <v>0</v>
      </c>
      <c r="O455" s="373">
        <f t="shared" si="368"/>
        <v>0</v>
      </c>
      <c r="P455" s="117">
        <f t="shared" si="359"/>
        <v>0</v>
      </c>
      <c r="Q455" s="117">
        <f t="shared" si="360"/>
        <v>0</v>
      </c>
    </row>
    <row r="456" spans="1:20" x14ac:dyDescent="0.35">
      <c r="A456" s="130">
        <v>7</v>
      </c>
      <c r="B456" s="117">
        <f>IF(ISERROR(IF($C133='Données d''entrée'!$B$370,(B428+C428+F428+G428+J428+K428-AE428-AF428-AG428-AH428-AI428-AJ428)*'Données d''entrée'!$C$372,(B428+F428+J428-AE428-AG428-AI428))),0,IF($C133='Données d''entrée'!$B$370,(B428+C428+F428+G428+J428+K428-AE428-AF428-AG428-AH428-AI428-AJ428)*'Données d''entrée'!$C$372,(B428+F428+J428-AE428-AG428-AI428)))</f>
        <v>0</v>
      </c>
      <c r="C456" s="117">
        <f>IF(ISERROR(IF($C133='Données d''entrée'!$B$370,(($C$41*C54+$D$41*D54+$E$41*E54)*(1-$C$38)*'Données d''entrée'!$C$374)+B456,($C$41*C54+$D$41*D54+$E$41*E54)*D81-AE428-AG428-AI428)),0,IF($C133='Données d''entrée'!$B$370,(($C$41*C54+$D$41*D54+$E$41*E54)*(1-$C$38)*'Données d''entrée'!$C$374)+B456,($C$41*C54+$D$41*D54+$E$41*E54)*D81-AE428-AG428-AI428))</f>
        <v>0</v>
      </c>
      <c r="D456" s="117">
        <f>IF(ISERROR(IF($C133='Données d''entrée'!$B$370,(B428+C428+F428+G428+J428+K428-AE428-AF428-AG428-AH428-AI428-AJ428)*'Données d''entrée'!$C$371,(C428+G428+K428-AF428-AH428-AJ428))),0,IF($C133='Données d''entrée'!$B$370,(B428+C428+F428+G428+J428+K428-AE428-AF428-AG428-AH428-AI428-AJ428)*'Données d''entrée'!$C$371,(C428+G428+K428-AF428-AH428-AJ428)))</f>
        <v>0</v>
      </c>
      <c r="E456" s="117">
        <f>IF(ISERROR(IF($C133='Données d''entrée'!$B$370,(($C$41*C54+$D$41*D54+$E$41*E54)*(1-$C$38)*'Données d''entrée'!$C$373)+D456,($C$41*C54+$D$41*D54+$E$41*E54)*E81-AF428-AH428-AJ428)),0,IF($C133='Données d''entrée'!$B$370,(($C$41*C54+$D$41*D54+$E$41*E54)*(1-$C$38)*'Données d''entrée'!$C$373)+D456,($C$41*C54+$D$41*D54+$E$41*E54)*E81-AF428-AH428-AJ428))</f>
        <v>0</v>
      </c>
      <c r="F456" s="373">
        <f t="shared" ref="F456:G456" si="369">Q133</f>
        <v>0</v>
      </c>
      <c r="G456" s="373">
        <f t="shared" si="369"/>
        <v>0</v>
      </c>
      <c r="H456" s="117">
        <f t="shared" si="356"/>
        <v>0</v>
      </c>
      <c r="I456" s="117">
        <f t="shared" si="357"/>
        <v>0</v>
      </c>
      <c r="J456" s="117">
        <f>IF(ISERROR(IF($C133='Données d''entrée'!$B$370,(N428+O428+R428+S428+V428+W428+Z428+AA428-AK428-AL428-AM428-AN428-AO428-AP428-AQ428-AR428)*'Données d''entrée'!$C$372,(N428+R428+V428+Z428-AK428-AM428-AO428-AQ428))),0,IF($C133='Données d''entrée'!$B$370,(N428+O428+R428+S428+V428+W428+Z428+AA428-AK428-AL428-AM428-AN428-AO428-AP428-AQ428-AR428)*'Données d''entrée'!$C$372,(N428+R428+V428+Z428-AK428-AM428-AO428-AQ428)))</f>
        <v>0</v>
      </c>
      <c r="K456" s="117">
        <f>IF(ISERROR(IF($C133='Données d''entrée'!$B$370,(($F$41*F54+$G$41*G54+$H$41*H54+$I$41*I54)*(1-$C$38)*'Données d''entrée'!$C$374)+J456,($F$41*F54+$G$41*G54+$H$41*H54+$I$41*I54)*D81-AK428-AM428-AO428-AQ428)),0,IF($C133='Données d''entrée'!$B$370,(($F$41*F54+$G$41*G54+$H$41*H54+$I$41*I54)*(1-$C$38)*'Données d''entrée'!$C$374)+J456,($F$41*F54+$G$41*G54+$H$41*H54+$I$41*I54)*D81-AK428-AM428-AO428-AQ428))</f>
        <v>0</v>
      </c>
      <c r="L456" s="117">
        <f>IF(ISERROR(IF($C133='Données d''entrée'!$B$370,(N428+O428+R428+S428+V428+W428+Z428+AA428-AK428-AL428-AM428-AN428-AO428-AP428-AQ428-AR428)*'Données d''entrée'!$C$371,(O428+S428+W428+AA428-AL428-AN428-AP428-AR428))),0,IF($C133='Données d''entrée'!$B$370,(N428+O428+R428+S428+V428+W428+Z428+AA428-AK428-AL428-AM428-AN428-AO428-AP428-AQ428-AR428)*'Données d''entrée'!$C$371,(O428+S428+W428+AA428-AL428-AN428-AP428-AR428)))</f>
        <v>0</v>
      </c>
      <c r="M456" s="117">
        <f>IF(ISERROR(IF($C133='Données d''entrée'!$B$370,(($F$41*F54+$G$41*G54+$H$41*H54+$I$41*I54)*(1-$C$38)*'Données d''entrée'!$C$373)+L456,($F$41*F54+$G$41*G54+$H$41*H54+$I$41*I54)*E81-AL428-AN428-AP428-AR428)),0,IF($C133='Données d''entrée'!$B$370,(($F$41*F54+$G$41*G54+$H$41*H54+$I$41*I54)*(1-$C$38)*'Données d''entrée'!$C$373)+L456,($F$41*F54+$G$41*G54+$H$41*H54+$I$41*I54)*E81-AL428-AN428-AP428-AR428))</f>
        <v>0</v>
      </c>
      <c r="N456" s="373">
        <f t="shared" ref="N456:O456" si="370">Y133</f>
        <v>0</v>
      </c>
      <c r="O456" s="373">
        <f t="shared" si="370"/>
        <v>0</v>
      </c>
      <c r="P456" s="117">
        <f t="shared" si="359"/>
        <v>0</v>
      </c>
      <c r="Q456" s="117">
        <f t="shared" si="360"/>
        <v>0</v>
      </c>
    </row>
    <row r="457" spans="1:20" x14ac:dyDescent="0.35">
      <c r="A457" s="130">
        <v>8</v>
      </c>
      <c r="B457" s="117">
        <f>IF(ISERROR(IF($C134='Données d''entrée'!$B$370,(B429+C429+F429+G429+J429+K429-AE429-AF429-AG429-AH429-AI429-AJ429)*'Données d''entrée'!$C$372,(B429+F429+J429-AE429-AG429-AI429))),0,IF($C134='Données d''entrée'!$B$370,(B429+C429+F429+G429+J429+K429-AE429-AF429-AG429-AH429-AI429-AJ429)*'Données d''entrée'!$C$372,(B429+F429+J429-AE429-AG429-AI429)))</f>
        <v>0</v>
      </c>
      <c r="C457" s="117">
        <f>IF(ISERROR(IF($C134='Données d''entrée'!$B$370,(($C$41*C55+$D$41*D55+$E$41*E55)*(1-$C$38)*'Données d''entrée'!$C$374)+B457,($C$41*C55+$D$41*D55+$E$41*E55)*D82-AE429-AG429-AI429)),0,IF($C134='Données d''entrée'!$B$370,(($C$41*C55+$D$41*D55+$E$41*E55)*(1-$C$38)*'Données d''entrée'!$C$374)+B457,($C$41*C55+$D$41*D55+$E$41*E55)*D82-AE429-AG429-AI429))</f>
        <v>0</v>
      </c>
      <c r="D457" s="117">
        <f>IF(ISERROR(IF($C134='Données d''entrée'!$B$370,(B429+C429+F429+G429+J429+K429-AE429-AF429-AG429-AH429-AI429-AJ429)*'Données d''entrée'!$C$371,(C429+G429+K429-AF429-AH429-AJ429))),0,IF($C134='Données d''entrée'!$B$370,(B429+C429+F429+G429+J429+K429-AE429-AF429-AG429-AH429-AI429-AJ429)*'Données d''entrée'!$C$371,(C429+G429+K429-AF429-AH429-AJ429)))</f>
        <v>0</v>
      </c>
      <c r="E457" s="117">
        <f>IF(ISERROR(IF($C134='Données d''entrée'!$B$370,(($C$41*C55+$D$41*D55+$E$41*E55)*(1-$C$38)*'Données d''entrée'!$C$373)+D457,($C$41*C55+$D$41*D55+$E$41*E55)*E82-AF429-AH429-AJ429)),0,IF($C134='Données d''entrée'!$B$370,(($C$41*C55+$D$41*D55+$E$41*E55)*(1-$C$38)*'Données d''entrée'!$C$373)+D457,($C$41*C55+$D$41*D55+$E$41*E55)*E82-AF429-AH429-AJ429))</f>
        <v>0</v>
      </c>
      <c r="F457" s="373">
        <f t="shared" ref="F457:G457" si="371">Q134</f>
        <v>0</v>
      </c>
      <c r="G457" s="373">
        <f t="shared" si="371"/>
        <v>0</v>
      </c>
      <c r="H457" s="117">
        <f t="shared" si="356"/>
        <v>0</v>
      </c>
      <c r="I457" s="117">
        <f t="shared" si="357"/>
        <v>0</v>
      </c>
      <c r="J457" s="117">
        <f>IF(ISERROR(IF($C134='Données d''entrée'!$B$370,(N429+O429+R429+S429+V429+W429+Z429+AA429-AK429-AL429-AM429-AN429-AO429-AP429-AQ429-AR429)*'Données d''entrée'!$C$372,(N429+R429+V429+Z429-AK429-AM429-AO429-AQ429))),0,IF($C134='Données d''entrée'!$B$370,(N429+O429+R429+S429+V429+W429+Z429+AA429-AK429-AL429-AM429-AN429-AO429-AP429-AQ429-AR429)*'Données d''entrée'!$C$372,(N429+R429+V429+Z429-AK429-AM429-AO429-AQ429)))</f>
        <v>0</v>
      </c>
      <c r="K457" s="117">
        <f>IF(ISERROR(IF($C134='Données d''entrée'!$B$370,(($F$41*F55+$G$41*G55+$H$41*H55+$I$41*I55)*(1-$C$38)*'Données d''entrée'!$C$374)+J457,($F$41*F55+$G$41*G55+$H$41*H55+$I$41*I55)*D82-AK429-AM429-AO429-AQ429)),0,IF($C134='Données d''entrée'!$B$370,(($F$41*F55+$G$41*G55+$H$41*H55+$I$41*I55)*(1-$C$38)*'Données d''entrée'!$C$374)+J457,($F$41*F55+$G$41*G55+$H$41*H55+$I$41*I55)*D82-AK429-AM429-AO429-AQ429))</f>
        <v>0</v>
      </c>
      <c r="L457" s="117">
        <f>IF(ISERROR(IF($C134='Données d''entrée'!$B$370,(N429+O429+R429+S429+V429+W429+Z429+AA429-AK429-AL429-AM429-AN429-AO429-AP429-AQ429-AR429)*'Données d''entrée'!$C$371,(O429+S429+W429+AA429-AL429-AN429-AP429-AR429))),0,IF($C134='Données d''entrée'!$B$370,(N429+O429+R429+S429+V429+W429+Z429+AA429-AK429-AL429-AM429-AN429-AO429-AP429-AQ429-AR429)*'Données d''entrée'!$C$371,(O429+S429+W429+AA429-AL429-AN429-AP429-AR429)))</f>
        <v>0</v>
      </c>
      <c r="M457" s="117">
        <f>IF(ISERROR(IF($C134='Données d''entrée'!$B$370,(($F$41*F55+$G$41*G55+$H$41*H55+$I$41*I55)*(1-$C$38)*'Données d''entrée'!$C$373)+L457,($F$41*F55+$G$41*G55+$H$41*H55+$I$41*I55)*E82-AL429-AN429-AP429-AR429)),0,IF($C134='Données d''entrée'!$B$370,(($F$41*F55+$G$41*G55+$H$41*H55+$I$41*I55)*(1-$C$38)*'Données d''entrée'!$C$373)+L457,($F$41*F55+$G$41*G55+$H$41*H55+$I$41*I55)*E82-AL429-AN429-AP429-AR429))</f>
        <v>0</v>
      </c>
      <c r="N457" s="373">
        <f t="shared" ref="N457:O457" si="372">Y134</f>
        <v>0</v>
      </c>
      <c r="O457" s="373">
        <f t="shared" si="372"/>
        <v>0</v>
      </c>
      <c r="P457" s="117">
        <f t="shared" si="359"/>
        <v>0</v>
      </c>
      <c r="Q457" s="117">
        <f t="shared" si="360"/>
        <v>0</v>
      </c>
    </row>
    <row r="458" spans="1:20" x14ac:dyDescent="0.35">
      <c r="A458" s="130">
        <v>9</v>
      </c>
      <c r="B458" s="117">
        <f>IF(ISERROR(IF($C135='Données d''entrée'!$B$370,(B430+C430+F430+G430+J430+K430-AE430-AF430-AG430-AH430-AI430-AJ430)*'Données d''entrée'!$C$372,(B430+F430+J430-AE430-AG430-AI430))),0,IF($C135='Données d''entrée'!$B$370,(B430+C430+F430+G430+J430+K430-AE430-AF430-AG430-AH430-AI430-AJ430)*'Données d''entrée'!$C$372,(B430+F430+J430-AE430-AG430-AI430)))</f>
        <v>0</v>
      </c>
      <c r="C458" s="117">
        <f>IF(ISERROR(IF($C135='Données d''entrée'!$B$370,(($C$41*C56+$D$41*D56+$E$41*E56)*(1-$C$38)*'Données d''entrée'!$C$374)+B458,($C$41*C56+$D$41*D56+$E$41*E56)*D83-AE430-AG430-AI430)),0,IF($C135='Données d''entrée'!$B$370,(($C$41*C56+$D$41*D56+$E$41*E56)*(1-$C$38)*'Données d''entrée'!$C$374)+B458,($C$41*C56+$D$41*D56+$E$41*E56)*D83-AE430-AG430-AI430))</f>
        <v>0</v>
      </c>
      <c r="D458" s="117">
        <f>IF(ISERROR(IF($C135='Données d''entrée'!$B$370,(B430+C430+F430+G430+J430+K430-AE430-AF430-AG430-AH430-AI430-AJ430)*'Données d''entrée'!$C$371,(C430+G430+K430-AF430-AH430-AJ430))),0,IF($C135='Données d''entrée'!$B$370,(B430+C430+F430+G430+J430+K430-AE430-AF430-AG430-AH430-AI430-AJ430)*'Données d''entrée'!$C$371,(C430+G430+K430-AF430-AH430-AJ430)))</f>
        <v>0</v>
      </c>
      <c r="E458" s="117">
        <f>IF(ISERROR(IF($C135='Données d''entrée'!$B$370,(($C$41*C56+$D$41*D56+$E$41*E56)*(1-$C$38)*'Données d''entrée'!$C$373)+D458,($C$41*C56+$D$41*D56+$E$41*E56)*E83-AF430-AH430-AJ430)),0,IF($C135='Données d''entrée'!$B$370,(($C$41*C56+$D$41*D56+$E$41*E56)*(1-$C$38)*'Données d''entrée'!$C$373)+D458,($C$41*C56+$D$41*D56+$E$41*E56)*E83-AF430-AH430-AJ430))</f>
        <v>0</v>
      </c>
      <c r="F458" s="373">
        <f t="shared" ref="F458:G458" si="373">Q135</f>
        <v>0</v>
      </c>
      <c r="G458" s="373">
        <f t="shared" si="373"/>
        <v>0</v>
      </c>
      <c r="H458" s="117">
        <f t="shared" si="356"/>
        <v>0</v>
      </c>
      <c r="I458" s="117">
        <f t="shared" si="357"/>
        <v>0</v>
      </c>
      <c r="J458" s="117">
        <f>IF(ISERROR(IF($C135='Données d''entrée'!$B$370,(N430+O430+R430+S430+V430+W430+Z430+AA430-AK430-AL430-AM430-AN430-AO430-AP430-AQ430-AR430)*'Données d''entrée'!$C$372,(N430+R430+V430+Z430-AK430-AM430-AO430-AQ430))),0,IF($C135='Données d''entrée'!$B$370,(N430+O430+R430+S430+V430+W430+Z430+AA430-AK430-AL430-AM430-AN430-AO430-AP430-AQ430-AR430)*'Données d''entrée'!$C$372,(N430+R430+V430+Z430-AK430-AM430-AO430-AQ430)))</f>
        <v>0</v>
      </c>
      <c r="K458" s="117">
        <f>IF(ISERROR(IF($C135='Données d''entrée'!$B$370,(($F$41*F56+$G$41*G56+$H$41*H56+$I$41*I56)*(1-$C$38)*'Données d''entrée'!$C$374)+J458,($F$41*F56+$G$41*G56+$H$41*H56+$I$41*I56)*D83-AK430-AM430-AO430-AQ430)),0,IF($C135='Données d''entrée'!$B$370,(($F$41*F56+$G$41*G56+$H$41*H56+$I$41*I56)*(1-$C$38)*'Données d''entrée'!$C$374)+J458,($F$41*F56+$G$41*G56+$H$41*H56+$I$41*I56)*D83-AK430-AM430-AO430-AQ430))</f>
        <v>0</v>
      </c>
      <c r="L458" s="117">
        <f>IF(ISERROR(IF($C135='Données d''entrée'!$B$370,(N430+O430+R430+S430+V430+W430+Z430+AA430-AK430-AL430-AM430-AN430-AO430-AP430-AQ430-AR430)*'Données d''entrée'!$C$371,(O430+S430+W430+AA430-AL430-AN430-AP430-AR430))),0,IF($C135='Données d''entrée'!$B$370,(N430+O430+R430+S430+V430+W430+Z430+AA430-AK430-AL430-AM430-AN430-AO430-AP430-AQ430-AR430)*'Données d''entrée'!$C$371,(O430+S430+W430+AA430-AL430-AN430-AP430-AR430)))</f>
        <v>0</v>
      </c>
      <c r="M458" s="117">
        <f>IF(ISERROR(IF($C135='Données d''entrée'!$B$370,(($F$41*F56+$G$41*G56+$H$41*H56+$I$41*I56)*(1-$C$38)*'Données d''entrée'!$C$373)+L458,($F$41*F56+$G$41*G56+$H$41*H56+$I$41*I56)*E83-AL430-AN430-AP430-AR430)),0,IF($C135='Données d''entrée'!$B$370,(($F$41*F56+$G$41*G56+$H$41*H56+$I$41*I56)*(1-$C$38)*'Données d''entrée'!$C$373)+L458,($F$41*F56+$G$41*G56+$H$41*H56+$I$41*I56)*E83-AL430-AN430-AP430-AR430))</f>
        <v>0</v>
      </c>
      <c r="N458" s="373">
        <f t="shared" ref="N458:O458" si="374">Y135</f>
        <v>0</v>
      </c>
      <c r="O458" s="373">
        <f t="shared" si="374"/>
        <v>0</v>
      </c>
      <c r="P458" s="117">
        <f t="shared" si="359"/>
        <v>0</v>
      </c>
      <c r="Q458" s="117">
        <f t="shared" si="360"/>
        <v>0</v>
      </c>
    </row>
    <row r="459" spans="1:20" x14ac:dyDescent="0.35">
      <c r="A459" s="130">
        <v>10</v>
      </c>
      <c r="B459" s="117">
        <f>IF(ISERROR(IF($C136='Données d''entrée'!$B$370,(B431+C431+F431+G431+J431+K431-AE431-AF431-AG431-AH431-AI431-AJ431)*'Données d''entrée'!$C$372,(B431+F431+J431-AE431-AG431-AI431))),0,IF($C136='Données d''entrée'!$B$370,(B431+C431+F431+G431+J431+K431-AE431-AF431-AG431-AH431-AI431-AJ431)*'Données d''entrée'!$C$372,(B431+F431+J431-AE431-AG431-AI431)))</f>
        <v>0</v>
      </c>
      <c r="C459" s="117">
        <f>IF(ISERROR(IF($C136='Données d''entrée'!$B$370,(($C$41*C57+$D$41*D57+$E$41*E57)*(1-$C$38)*'Données d''entrée'!$C$374)+B459,($C$41*C57+$D$41*D57+$E$41*E57)*D84-AE431-AG431-AI431)),0,IF($C136='Données d''entrée'!$B$370,(($C$41*C57+$D$41*D57+$E$41*E57)*(1-$C$38)*'Données d''entrée'!$C$374)+B459,($C$41*C57+$D$41*D57+$E$41*E57)*D84-AE431-AG431-AI431))</f>
        <v>0</v>
      </c>
      <c r="D459" s="117">
        <f>IF(ISERROR(IF($C136='Données d''entrée'!$B$370,(B431+C431+F431+G431+J431+K431-AE431-AF431-AG431-AH431-AI431-AJ431)*'Données d''entrée'!$C$371,(C431+G431+K431-AF431-AH431-AJ431))),0,IF($C136='Données d''entrée'!$B$370,(B431+C431+F431+G431+J431+K431-AE431-AF431-AG431-AH431-AI431-AJ431)*'Données d''entrée'!$C$371,(C431+G431+K431-AF431-AH431-AJ431)))</f>
        <v>0</v>
      </c>
      <c r="E459" s="117">
        <f>IF(ISERROR(IF($C136='Données d''entrée'!$B$370,(($C$41*C57+$D$41*D57+$E$41*E57)*(1-$C$38)*'Données d''entrée'!$C$373)+D459,($C$41*C57+$D$41*D57+$E$41*E57)*E84-AF431-AH431-AJ431)),0,IF($C136='Données d''entrée'!$B$370,(($C$41*C57+$D$41*D57+$E$41*E57)*(1-$C$38)*'Données d''entrée'!$C$373)+D459,($C$41*C57+$D$41*D57+$E$41*E57)*E84-AF431-AH431-AJ431))</f>
        <v>0</v>
      </c>
      <c r="F459" s="373">
        <f t="shared" ref="F459:G459" si="375">Q136</f>
        <v>0</v>
      </c>
      <c r="G459" s="373">
        <f t="shared" si="375"/>
        <v>0</v>
      </c>
      <c r="H459" s="117">
        <f t="shared" si="356"/>
        <v>0</v>
      </c>
      <c r="I459" s="117">
        <f t="shared" si="357"/>
        <v>0</v>
      </c>
      <c r="J459" s="117">
        <f>IF(ISERROR(IF($C136='Données d''entrée'!$B$370,(N431+O431+R431+S431+V431+W431+Z431+AA431-AK431-AL431-AM431-AN431-AO431-AP431-AQ431-AR431)*'Données d''entrée'!$C$372,(N431+R431+V431+Z431-AK431-AM431-AO431-AQ431))),0,IF($C136='Données d''entrée'!$B$370,(N431+O431+R431+S431+V431+W431+Z431+AA431-AK431-AL431-AM431-AN431-AO431-AP431-AQ431-AR431)*'Données d''entrée'!$C$372,(N431+R431+V431+Z431-AK431-AM431-AO431-AQ431)))</f>
        <v>0</v>
      </c>
      <c r="K459" s="117">
        <f>IF(ISERROR(IF($C136='Données d''entrée'!$B$370,(($F$41*F57+$G$41*G57+$H$41*H57+$I$41*I57)*(1-$C$38)*'Données d''entrée'!$C$374)+J459,($F$41*F57+$G$41*G57+$H$41*H57+$I$41*I57)*D84-AK431-AM431-AO431-AQ431)),0,IF($C136='Données d''entrée'!$B$370,(($F$41*F57+$G$41*G57+$H$41*H57+$I$41*I57)*(1-$C$38)*'Données d''entrée'!$C$374)+J459,($F$41*F57+$G$41*G57+$H$41*H57+$I$41*I57)*D84-AK431-AM431-AO431-AQ431))</f>
        <v>0</v>
      </c>
      <c r="L459" s="117">
        <f>IF(ISERROR(IF($C136='Données d''entrée'!$B$370,(N431+O431+R431+S431+V431+W431+Z431+AA431-AK431-AL431-AM431-AN431-AO431-AP431-AQ431-AR431)*'Données d''entrée'!$C$371,(O431+S431+W431+AA431-AL431-AN431-AP431-AR431))),0,IF($C136='Données d''entrée'!$B$370,(N431+O431+R431+S431+V431+W431+Z431+AA431-AK431-AL431-AM431-AN431-AO431-AP431-AQ431-AR431)*'Données d''entrée'!$C$371,(O431+S431+W431+AA431-AL431-AN431-AP431-AR431)))</f>
        <v>0</v>
      </c>
      <c r="M459" s="117">
        <f>IF(ISERROR(IF($C136='Données d''entrée'!$B$370,(($F$41*F57+$G$41*G57+$H$41*H57+$I$41*I57)*(1-$C$38)*'Données d''entrée'!$C$373)+L459,($F$41*F57+$G$41*G57+$H$41*H57+$I$41*I57)*E84-AL431-AN431-AP431-AR431)),0,IF($C136='Données d''entrée'!$B$370,(($F$41*F57+$G$41*G57+$H$41*H57+$I$41*I57)*(1-$C$38)*'Données d''entrée'!$C$373)+L459,($F$41*F57+$G$41*G57+$H$41*H57+$I$41*I57)*E84-AL431-AN431-AP431-AR431))</f>
        <v>0</v>
      </c>
      <c r="N459" s="373">
        <f t="shared" ref="N459:O459" si="376">Y136</f>
        <v>0</v>
      </c>
      <c r="O459" s="373">
        <f t="shared" si="376"/>
        <v>0</v>
      </c>
      <c r="P459" s="117">
        <f t="shared" si="359"/>
        <v>0</v>
      </c>
      <c r="Q459" s="117">
        <f t="shared" si="360"/>
        <v>0</v>
      </c>
    </row>
    <row r="460" spans="1:20" x14ac:dyDescent="0.35">
      <c r="A460" s="130">
        <v>11</v>
      </c>
      <c r="B460" s="117">
        <f>IF(ISERROR(IF($C137='Données d''entrée'!$B$370,(B432+C432+F432+G432+J432+K432-AE432-AF432-AG432-AH432-AI432-AJ432)*'Données d''entrée'!$C$372,(B432+F432+J432-AE432-AG432-AI432))),0,IF($C137='Données d''entrée'!$B$370,(B432+C432+F432+G432+J432+K432-AE432-AF432-AG432-AH432-AI432-AJ432)*'Données d''entrée'!$C$372,(B432+F432+J432-AE432-AG432-AI432)))</f>
        <v>0</v>
      </c>
      <c r="C460" s="117">
        <f>IF(ISERROR(IF($C137='Données d''entrée'!$B$370,(($C$41*C58+$D$41*D58+$E$41*E58)*(1-$C$38)*'Données d''entrée'!$C$374)+B460,($C$41*C58+$D$41*D58+$E$41*E58)*D85-AE432-AG432-AI432)),0,IF($C137='Données d''entrée'!$B$370,(($C$41*C58+$D$41*D58+$E$41*E58)*(1-$C$38)*'Données d''entrée'!$C$374)+B460,($C$41*C58+$D$41*D58+$E$41*E58)*D85-AE432-AG432-AI432))</f>
        <v>0</v>
      </c>
      <c r="D460" s="117">
        <f>IF(ISERROR(IF($C137='Données d''entrée'!$B$370,(B432+C432+F432+G432+J432+K432-AE432-AF432-AG432-AH432-AI432-AJ432)*'Données d''entrée'!$C$371,(C432+G432+K432-AF432-AH432-AJ432))),0,IF($C137='Données d''entrée'!$B$370,(B432+C432+F432+G432+J432+K432-AE432-AF432-AG432-AH432-AI432-AJ432)*'Données d''entrée'!$C$371,(C432+G432+K432-AF432-AH432-AJ432)))</f>
        <v>0</v>
      </c>
      <c r="E460" s="117">
        <f>IF(ISERROR(IF($C137='Données d''entrée'!$B$370,(($C$41*C58+$D$41*D58+$E$41*E58)*(1-$C$38)*'Données d''entrée'!$C$373)+D460,($C$41*C58+$D$41*D58+$E$41*E58)*E85-AF432-AH432-AJ432)),0,IF($C137='Données d''entrée'!$B$370,(($C$41*C58+$D$41*D58+$E$41*E58)*(1-$C$38)*'Données d''entrée'!$C$373)+D460,($C$41*C58+$D$41*D58+$E$41*E58)*E85-AF432-AH432-AJ432))</f>
        <v>0</v>
      </c>
      <c r="F460" s="373">
        <f t="shared" ref="F460:G460" si="377">Q137</f>
        <v>0</v>
      </c>
      <c r="G460" s="373">
        <f t="shared" si="377"/>
        <v>0</v>
      </c>
      <c r="H460" s="117">
        <f t="shared" si="356"/>
        <v>0</v>
      </c>
      <c r="I460" s="117">
        <f t="shared" si="357"/>
        <v>0</v>
      </c>
      <c r="J460" s="117">
        <f>IF(ISERROR(IF($C137='Données d''entrée'!$B$370,(N432+O432+R432+S432+V432+W432+Z432+AA432-AK432-AL432-AM432-AN432-AO432-AP432-AQ432-AR432)*'Données d''entrée'!$C$372,(N432+R432+V432+Z432-AK432-AM432-AO432-AQ432))),0,IF($C137='Données d''entrée'!$B$370,(N432+O432+R432+S432+V432+W432+Z432+AA432-AK432-AL432-AM432-AN432-AO432-AP432-AQ432-AR432)*'Données d''entrée'!$C$372,(N432+R432+V432+Z432-AK432-AM432-AO432-AQ432)))</f>
        <v>0</v>
      </c>
      <c r="K460" s="117">
        <f>IF(ISERROR(IF($C137='Données d''entrée'!$B$370,(($F$41*F58+$G$41*G58+$H$41*H58+$I$41*I58)*(1-$C$38)*'Données d''entrée'!$C$374)+J460,($F$41*F58+$G$41*G58+$H$41*H58+$I$41*I58)*D85-AK432-AM432-AO432-AQ432)),0,IF($C137='Données d''entrée'!$B$370,(($F$41*F58+$G$41*G58+$H$41*H58+$I$41*I58)*(1-$C$38)*'Données d''entrée'!$C$374)+J460,($F$41*F58+$G$41*G58+$H$41*H58+$I$41*I58)*D85-AK432-AM432-AO432-AQ432))</f>
        <v>0</v>
      </c>
      <c r="L460" s="117">
        <f>IF(ISERROR(IF($C137='Données d''entrée'!$B$370,(N432+O432+R432+S432+V432+W432+Z432+AA432-AK432-AL432-AM432-AN432-AO432-AP432-AQ432-AR432)*'Données d''entrée'!$C$371,(O432+S432+W432+AA432-AL432-AN432-AP432-AR432))),0,IF($C137='Données d''entrée'!$B$370,(N432+O432+R432+S432+V432+W432+Z432+AA432-AK432-AL432-AM432-AN432-AO432-AP432-AQ432-AR432)*'Données d''entrée'!$C$371,(O432+S432+W432+AA432-AL432-AN432-AP432-AR432)))</f>
        <v>0</v>
      </c>
      <c r="M460" s="117">
        <f>IF(ISERROR(IF($C137='Données d''entrée'!$B$370,(($F$41*F58+$G$41*G58+$H$41*H58+$I$41*I58)*(1-$C$38)*'Données d''entrée'!$C$373)+L460,($F$41*F58+$G$41*G58+$H$41*H58+$I$41*I58)*E85-AL432-AN432-AP432-AR432)),0,IF($C137='Données d''entrée'!$B$370,(($F$41*F58+$G$41*G58+$H$41*H58+$I$41*I58)*(1-$C$38)*'Données d''entrée'!$C$373)+L460,($F$41*F58+$G$41*G58+$H$41*H58+$I$41*I58)*E85-AL432-AN432-AP432-AR432))</f>
        <v>0</v>
      </c>
      <c r="N460" s="373">
        <f t="shared" ref="N460:O460" si="378">Y137</f>
        <v>0</v>
      </c>
      <c r="O460" s="373">
        <f t="shared" si="378"/>
        <v>0</v>
      </c>
      <c r="P460" s="117">
        <f t="shared" si="359"/>
        <v>0</v>
      </c>
      <c r="Q460" s="117">
        <f t="shared" si="360"/>
        <v>0</v>
      </c>
    </row>
    <row r="461" spans="1:20" x14ac:dyDescent="0.35">
      <c r="A461" s="130">
        <v>12</v>
      </c>
      <c r="B461" s="117">
        <f>IF(ISERROR(IF($C138='Données d''entrée'!$B$370,(B433+C433+F433+G433+J433+K433-AE433-AF433-AG433-AH433-AI433-AJ433)*'Données d''entrée'!$C$372,(B433+F433+J433-AE433-AG433-AI433))),0,IF($C138='Données d''entrée'!$B$370,(B433+C433+F433+G433+J433+K433-AE433-AF433-AG433-AH433-AI433-AJ433)*'Données d''entrée'!$C$372,(B433+F433+J433-AE433-AG433-AI433)))</f>
        <v>0</v>
      </c>
      <c r="C461" s="117">
        <f>IF(ISERROR(IF($C138='Données d''entrée'!$B$370,(($C$41*C59+$D$41*D59+$E$41*E59)*(1-$C$38)*'Données d''entrée'!$C$374)+B461,($C$41*C59+$D$41*D59+$E$41*E59)*D86-AE433-AG433-AI433)),0,IF($C138='Données d''entrée'!$B$370,(($C$41*C59+$D$41*D59+$E$41*E59)*(1-$C$38)*'Données d''entrée'!$C$374)+B461,($C$41*C59+$D$41*D59+$E$41*E59)*D86-AE433-AG433-AI433))</f>
        <v>0</v>
      </c>
      <c r="D461" s="117">
        <f>IF(ISERROR(IF($C138='Données d''entrée'!$B$370,(B433+C433+F433+G433+J433+K433-AE433-AF433-AG433-AH433-AI433-AJ433)*'Données d''entrée'!$C$371,(C433+G433+K433-AF433-AH433-AJ433))),0,IF($C138='Données d''entrée'!$B$370,(B433+C433+F433+G433+J433+K433-AE433-AF433-AG433-AH433-AI433-AJ433)*'Données d''entrée'!$C$371,(C433+G433+K433-AF433-AH433-AJ433)))</f>
        <v>0</v>
      </c>
      <c r="E461" s="117">
        <f>IF(ISERROR(IF($C138='Données d''entrée'!$B$370,(($C$41*C59+$D$41*D59+$E$41*E59)*(1-$C$38)*'Données d''entrée'!$C$373)+D461,($C$41*C59+$D$41*D59+$E$41*E59)*E86-AF433-AH433-AJ433)),0,IF($C138='Données d''entrée'!$B$370,(($C$41*C59+$D$41*D59+$E$41*E59)*(1-$C$38)*'Données d''entrée'!$C$373)+D461,($C$41*C59+$D$41*D59+$E$41*E59)*E86-AF433-AH433-AJ433))</f>
        <v>0</v>
      </c>
      <c r="F461" s="373">
        <f t="shared" ref="F461:G461" si="379">Q138</f>
        <v>0</v>
      </c>
      <c r="G461" s="373">
        <f t="shared" si="379"/>
        <v>0</v>
      </c>
      <c r="H461" s="117">
        <f t="shared" si="356"/>
        <v>0</v>
      </c>
      <c r="I461" s="117">
        <f t="shared" si="357"/>
        <v>0</v>
      </c>
      <c r="J461" s="117">
        <f>IF(ISERROR(IF($C138='Données d''entrée'!$B$370,(N433+O433+R433+S433+V433+W433+Z433+AA433-AK433-AL433-AM433-AN433-AO433-AP433-AQ433-AR433)*'Données d''entrée'!$C$372,(N433+R433+V433+Z433-AK433-AM433-AO433-AQ433))),0,IF($C138='Données d''entrée'!$B$370,(N433+O433+R433+S433+V433+W433+Z433+AA433-AK433-AL433-AM433-AN433-AO433-AP433-AQ433-AR433)*'Données d''entrée'!$C$372,(N433+R433+V433+Z433-AK433-AM433-AO433-AQ433)))</f>
        <v>0</v>
      </c>
      <c r="K461" s="117">
        <f>IF(ISERROR(IF($C138='Données d''entrée'!$B$370,(($F$41*F59+$G$41*G59+$H$41*H59+$I$41*I59)*(1-$C$38)*'Données d''entrée'!$C$374)+J461,($F$41*F59+$G$41*G59+$H$41*H59+$I$41*I59)*D86-AK433-AM433-AO433-AQ433)),0,IF($C138='Données d''entrée'!$B$370,(($F$41*F59+$G$41*G59+$H$41*H59+$I$41*I59)*(1-$C$38)*'Données d''entrée'!$C$374)+J461,($F$41*F59+$G$41*G59+$H$41*H59+$I$41*I59)*D86-AK433-AM433-AO433-AQ433))</f>
        <v>0</v>
      </c>
      <c r="L461" s="117">
        <f>IF(ISERROR(IF($C138='Données d''entrée'!$B$370,(N433+O433+R433+S433+V433+W433+Z433+AA433-AK433-AL433-AM433-AN433-AO433-AP433-AQ433-AR433)*'Données d''entrée'!$C$371,(O433+S433+W433+AA433-AL433-AN433-AP433-AR433))),0,IF($C138='Données d''entrée'!$B$370,(N433+O433+R433+S433+V433+W433+Z433+AA433-AK433-AL433-AM433-AN433-AO433-AP433-AQ433-AR433)*'Données d''entrée'!$C$371,(O433+S433+W433+AA433-AL433-AN433-AP433-AR433)))</f>
        <v>0</v>
      </c>
      <c r="M461" s="117">
        <f>IF(ISERROR(IF($C138='Données d''entrée'!$B$370,(($F$41*F59+$G$41*G59+$H$41*H59+$I$41*I59)*(1-$C$38)*'Données d''entrée'!$C$373)+L461,($F$41*F59+$G$41*G59+$H$41*H59+$I$41*I59)*E86-AL433-AN433-AP433-AR433)),0,IF($C138='Données d''entrée'!$B$370,(($F$41*F59+$G$41*G59+$H$41*H59+$I$41*I59)*(1-$C$38)*'Données d''entrée'!$C$373)+L461,($F$41*F59+$G$41*G59+$H$41*H59+$I$41*I59)*E86-AL433-AN433-AP433-AR433))</f>
        <v>0</v>
      </c>
      <c r="N461" s="373">
        <f t="shared" ref="N461:O461" si="380">Y138</f>
        <v>0</v>
      </c>
      <c r="O461" s="373">
        <f t="shared" si="380"/>
        <v>0</v>
      </c>
      <c r="P461" s="117">
        <f t="shared" si="359"/>
        <v>0</v>
      </c>
      <c r="Q461" s="117">
        <f t="shared" si="360"/>
        <v>0</v>
      </c>
    </row>
    <row r="462" spans="1:20" x14ac:dyDescent="0.35">
      <c r="A462" s="130">
        <v>13</v>
      </c>
      <c r="B462" s="117">
        <f>IF(ISERROR(IF($C139='Données d''entrée'!$B$370,(B434+C434+F434+G434+J434+K434-AE434-AF434-AG434-AH434-AI434-AJ434)*'Données d''entrée'!$C$372,(B434+F434+J434-AE434-AG434-AI434))),0,IF($C139='Données d''entrée'!$B$370,(B434+C434+F434+G434+J434+K434-AE434-AF434-AG434-AH434-AI434-AJ434)*'Données d''entrée'!$C$372,(B434+F434+J434-AE434-AG434-AI434)))</f>
        <v>0</v>
      </c>
      <c r="C462" s="117">
        <f>IF(ISERROR(IF($C139='Données d''entrée'!$B$370,(($C$41*C60+$D$41*D60+$E$41*E60)*(1-$C$38)*'Données d''entrée'!$C$374)+B462,($C$41*C60+$D$41*D60+$E$41*E60)*D87-AE434-AG434-AI434)),0,IF($C139='Données d''entrée'!$B$370,(($C$41*C60+$D$41*D60+$E$41*E60)*(1-$C$38)*'Données d''entrée'!$C$374)+B462,($C$41*C60+$D$41*D60+$E$41*E60)*D87-AE434-AG434-AI434))</f>
        <v>0</v>
      </c>
      <c r="D462" s="117">
        <f>IF(ISERROR(IF($C139='Données d''entrée'!$B$370,(B434+C434+F434+G434+J434+K434-AE434-AF434-AG434-AH434-AI434-AJ434)*'Données d''entrée'!$C$371,(C434+G434+K434-AF434-AH434-AJ434))),0,IF($C139='Données d''entrée'!$B$370,(B434+C434+F434+G434+J434+K434-AE434-AF434-AG434-AH434-AI434-AJ434)*'Données d''entrée'!$C$371,(C434+G434+K434-AF434-AH434-AJ434)))</f>
        <v>0</v>
      </c>
      <c r="E462" s="117">
        <f>IF(ISERROR(IF($C139='Données d''entrée'!$B$370,(($C$41*C60+$D$41*D60+$E$41*E60)*(1-$C$38)*'Données d''entrée'!$C$373)+D462,($C$41*C60+$D$41*D60+$E$41*E60)*E87-AF434-AH434-AJ434)),0,IF($C139='Données d''entrée'!$B$370,(($C$41*C60+$D$41*D60+$E$41*E60)*(1-$C$38)*'Données d''entrée'!$C$373)+D462,($C$41*C60+$D$41*D60+$E$41*E60)*E87-AF434-AH434-AJ434))</f>
        <v>0</v>
      </c>
      <c r="F462" s="373">
        <f t="shared" ref="F462:G462" si="381">Q139</f>
        <v>0</v>
      </c>
      <c r="G462" s="373">
        <f t="shared" si="381"/>
        <v>0</v>
      </c>
      <c r="H462" s="117">
        <f t="shared" si="356"/>
        <v>0</v>
      </c>
      <c r="I462" s="117">
        <f t="shared" si="357"/>
        <v>0</v>
      </c>
      <c r="J462" s="117">
        <f>IF(ISERROR(IF($C139='Données d''entrée'!$B$370,(N434+O434+R434+S434+V434+W434+Z434+AA434-AK434-AL434-AM434-AN434-AO434-AP434-AQ434-AR434)*'Données d''entrée'!$C$372,(N434+R434+V434+Z434-AK434-AM434-AO434-AQ434))),0,IF($C139='Données d''entrée'!$B$370,(N434+O434+R434+S434+V434+W434+Z434+AA434-AK434-AL434-AM434-AN434-AO434-AP434-AQ434-AR434)*'Données d''entrée'!$C$372,(N434+R434+V434+Z434-AK434-AM434-AO434-AQ434)))</f>
        <v>0</v>
      </c>
      <c r="K462" s="117">
        <f>IF(ISERROR(IF($C139='Données d''entrée'!$B$370,(($F$41*F60+$G$41*G60+$H$41*H60+$I$41*I60)*(1-$C$38)*'Données d''entrée'!$C$374)+J462,($F$41*F60+$G$41*G60+$H$41*H60+$I$41*I60)*D87-AK434-AM434-AO434-AQ434)),0,IF($C139='Données d''entrée'!$B$370,(($F$41*F60+$G$41*G60+$H$41*H60+$I$41*I60)*(1-$C$38)*'Données d''entrée'!$C$374)+J462,($F$41*F60+$G$41*G60+$H$41*H60+$I$41*I60)*D87-AK434-AM434-AO434-AQ434))</f>
        <v>0</v>
      </c>
      <c r="L462" s="117">
        <f>IF(ISERROR(IF($C139='Données d''entrée'!$B$370,(N434+O434+R434+S434+V434+W434+Z434+AA434-AK434-AL434-AM434-AN434-AO434-AP434-AQ434-AR434)*'Données d''entrée'!$C$371,(O434+S434+W434+AA434-AL434-AN434-AP434-AR434))),0,IF($C139='Données d''entrée'!$B$370,(N434+O434+R434+S434+V434+W434+Z434+AA434-AK434-AL434-AM434-AN434-AO434-AP434-AQ434-AR434)*'Données d''entrée'!$C$371,(O434+S434+W434+AA434-AL434-AN434-AP434-AR434)))</f>
        <v>0</v>
      </c>
      <c r="M462" s="117">
        <f>IF(ISERROR(IF($C139='Données d''entrée'!$B$370,(($F$41*F60+$G$41*G60+$H$41*H60+$I$41*I60)*(1-$C$38)*'Données d''entrée'!$C$373)+L462,($F$41*F60+$G$41*G60+$H$41*H60+$I$41*I60)*E87-AL434-AN434-AP434-AR434)),0,IF($C139='Données d''entrée'!$B$370,(($F$41*F60+$G$41*G60+$H$41*H60+$I$41*I60)*(1-$C$38)*'Données d''entrée'!$C$373)+L462,($F$41*F60+$G$41*G60+$H$41*H60+$I$41*I60)*E87-AL434-AN434-AP434-AR434))</f>
        <v>0</v>
      </c>
      <c r="N462" s="373">
        <f t="shared" ref="N462:O462" si="382">Y139</f>
        <v>0</v>
      </c>
      <c r="O462" s="373">
        <f t="shared" si="382"/>
        <v>0</v>
      </c>
      <c r="P462" s="117">
        <f t="shared" si="359"/>
        <v>0</v>
      </c>
      <c r="Q462" s="117">
        <f t="shared" si="360"/>
        <v>0</v>
      </c>
    </row>
    <row r="463" spans="1:20" x14ac:dyDescent="0.35">
      <c r="A463" s="130">
        <v>14</v>
      </c>
      <c r="B463" s="117">
        <f>IF(ISERROR(IF($C140='Données d''entrée'!$B$370,(B435+C435+F435+G435+J435+K435-AE435-AF435-AG435-AH435-AI435-AJ435)*'Données d''entrée'!$C$372,(B435+F435+J435-AE435-AG435-AI435))),0,IF($C140='Données d''entrée'!$B$370,(B435+C435+F435+G435+J435+K435-AE435-AF435-AG435-AH435-AI435-AJ435)*'Données d''entrée'!$C$372,(B435+F435+J435-AE435-AG435-AI435)))</f>
        <v>0</v>
      </c>
      <c r="C463" s="117">
        <f>IF(ISERROR(IF($C140='Données d''entrée'!$B$370,(($C$41*C61+$D$41*D61+$E$41*E61)*(1-$C$38)*'Données d''entrée'!$C$374)+B463,($C$41*C61+$D$41*D61+$E$41*E61)*D88-AE435-AG435-AI435)),0,IF($C140='Données d''entrée'!$B$370,(($C$41*C61+$D$41*D61+$E$41*E61)*(1-$C$38)*'Données d''entrée'!$C$374)+B463,($C$41*C61+$D$41*D61+$E$41*E61)*D88-AE435-AG435-AI435))</f>
        <v>0</v>
      </c>
      <c r="D463" s="117">
        <f>IF(ISERROR(IF($C140='Données d''entrée'!$B$370,(B435+C435+F435+G435+J435+K435-AE435-AF435-AG435-AH435-AI435-AJ435)*'Données d''entrée'!$C$371,(C435+G435+K435-AF435-AH435-AJ435))),0,IF($C140='Données d''entrée'!$B$370,(B435+C435+F435+G435+J435+K435-AE435-AF435-AG435-AH435-AI435-AJ435)*'Données d''entrée'!$C$371,(C435+G435+K435-AF435-AH435-AJ435)))</f>
        <v>0</v>
      </c>
      <c r="E463" s="117">
        <f>IF(ISERROR(IF($C140='Données d''entrée'!$B$370,(($C$41*C61+$D$41*D61+$E$41*E61)*(1-$C$38)*'Données d''entrée'!$C$373)+D463,($C$41*C61+$D$41*D61+$E$41*E61)*E88-AF435-AH435-AJ435)),0,IF($C140='Données d''entrée'!$B$370,(($C$41*C61+$D$41*D61+$E$41*E61)*(1-$C$38)*'Données d''entrée'!$C$373)+D463,($C$41*C61+$D$41*D61+$E$41*E61)*E88-AF435-AH435-AJ435))</f>
        <v>0</v>
      </c>
      <c r="F463" s="373">
        <f t="shared" ref="F463:G463" si="383">Q140</f>
        <v>0</v>
      </c>
      <c r="G463" s="373">
        <f t="shared" si="383"/>
        <v>0</v>
      </c>
      <c r="H463" s="117">
        <f t="shared" si="356"/>
        <v>0</v>
      </c>
      <c r="I463" s="117">
        <f t="shared" si="357"/>
        <v>0</v>
      </c>
      <c r="J463" s="117">
        <f>IF(ISERROR(IF($C140='Données d''entrée'!$B$370,(N435+O435+R435+S435+V435+W435+Z435+AA435-AK435-AL435-AM435-AN435-AO435-AP435-AQ435-AR435)*'Données d''entrée'!$C$372,(N435+R435+V435+Z435-AK435-AM435-AO435-AQ435))),0,IF($C140='Données d''entrée'!$B$370,(N435+O435+R435+S435+V435+W435+Z435+AA435-AK435-AL435-AM435-AN435-AO435-AP435-AQ435-AR435)*'Données d''entrée'!$C$372,(N435+R435+V435+Z435-AK435-AM435-AO435-AQ435)))</f>
        <v>0</v>
      </c>
      <c r="K463" s="117">
        <f>IF(ISERROR(IF($C140='Données d''entrée'!$B$370,(($F$41*F61+$G$41*G61+$H$41*H61+$I$41*I61)*(1-$C$38)*'Données d''entrée'!$C$374)+J463,($F$41*F61+$G$41*G61+$H$41*H61+$I$41*I61)*D88-AK435-AM435-AO435-AQ435)),0,IF($C140='Données d''entrée'!$B$370,(($F$41*F61+$G$41*G61+$H$41*H61+$I$41*I61)*(1-$C$38)*'Données d''entrée'!$C$374)+J463,($F$41*F61+$G$41*G61+$H$41*H61+$I$41*I61)*D88-AK435-AM435-AO435-AQ435))</f>
        <v>0</v>
      </c>
      <c r="L463" s="117">
        <f>IF(ISERROR(IF($C140='Données d''entrée'!$B$370,(N435+O435+R435+S435+V435+W435+Z435+AA435-AK435-AL435-AM435-AN435-AO435-AP435-AQ435-AR435)*'Données d''entrée'!$C$371,(O435+S435+W435+AA435-AL435-AN435-AP435-AR435))),0,IF($C140='Données d''entrée'!$B$370,(N435+O435+R435+S435+V435+W435+Z435+AA435-AK435-AL435-AM435-AN435-AO435-AP435-AQ435-AR435)*'Données d''entrée'!$C$371,(O435+S435+W435+AA435-AL435-AN435-AP435-AR435)))</f>
        <v>0</v>
      </c>
      <c r="M463" s="117">
        <f>IF(ISERROR(IF($C140='Données d''entrée'!$B$370,(($F$41*F61+$G$41*G61+$H$41*H61+$I$41*I61)*(1-$C$38)*'Données d''entrée'!$C$373)+L463,($F$41*F61+$G$41*G61+$H$41*H61+$I$41*I61)*E88-AL435-AN435-AP435-AR435)),0,IF($C140='Données d''entrée'!$B$370,(($F$41*F61+$G$41*G61+$H$41*H61+$I$41*I61)*(1-$C$38)*'Données d''entrée'!$C$373)+L463,($F$41*F61+$G$41*G61+$H$41*H61+$I$41*I61)*E88-AL435-AN435-AP435-AR435))</f>
        <v>0</v>
      </c>
      <c r="N463" s="373">
        <f t="shared" ref="N463:O463" si="384">Y140</f>
        <v>0</v>
      </c>
      <c r="O463" s="373">
        <f t="shared" si="384"/>
        <v>0</v>
      </c>
      <c r="P463" s="117">
        <f t="shared" si="359"/>
        <v>0</v>
      </c>
      <c r="Q463" s="117">
        <f t="shared" si="360"/>
        <v>0</v>
      </c>
    </row>
    <row r="464" spans="1:20" x14ac:dyDescent="0.35">
      <c r="A464" s="130">
        <v>15</v>
      </c>
      <c r="B464" s="117">
        <f>IF(ISERROR(IF($C141='Données d''entrée'!$B$370,(B436+C436+F436+G436+J436+K436-AE436-AF436-AG436-AH436-AI436-AJ436)*'Données d''entrée'!$C$372,(B436+F436+J436-AE436-AG436-AI436))),0,IF($C141='Données d''entrée'!$B$370,(B436+C436+F436+G436+J436+K436-AE436-AF436-AG436-AH436-AI436-AJ436)*'Données d''entrée'!$C$372,(B436+F436+J436-AE436-AG436-AI436)))</f>
        <v>0</v>
      </c>
      <c r="C464" s="117">
        <f>IF(ISERROR(IF($C141='Données d''entrée'!$B$370,(($C$41*C62+$D$41*D62+$E$41*E62)*(1-$C$38)*'Données d''entrée'!$C$374)+B464,($C$41*C62+$D$41*D62+$E$41*E62)*D89-AE436-AG436-AI436)),0,IF($C141='Données d''entrée'!$B$370,(($C$41*C62+$D$41*D62+$E$41*E62)*(1-$C$38)*'Données d''entrée'!$C$374)+B464,($C$41*C62+$D$41*D62+$E$41*E62)*D89-AE436-AG436-AI436))</f>
        <v>0</v>
      </c>
      <c r="D464" s="117">
        <f>IF(ISERROR(IF($C141='Données d''entrée'!$B$370,(B436+C436+F436+G436+J436+K436-AE436-AF436-AG436-AH436-AI436-AJ436)*'Données d''entrée'!$C$371,(C436+G436+K436-AF436-AH436-AJ436))),0,IF($C141='Données d''entrée'!$B$370,(B436+C436+F436+G436+J436+K436-AE436-AF436-AG436-AH436-AI436-AJ436)*'Données d''entrée'!$C$371,(C436+G436+K436-AF436-AH436-AJ436)))</f>
        <v>0</v>
      </c>
      <c r="E464" s="117">
        <f>IF(ISERROR(IF($C141='Données d''entrée'!$B$370,(($C$41*C62+$D$41*D62+$E$41*E62)*(1-$C$38)*'Données d''entrée'!$C$373)+D464,($C$41*C62+$D$41*D62+$E$41*E62)*E89-AF436-AH436-AJ436)),0,IF($C141='Données d''entrée'!$B$370,(($C$41*C62+$D$41*D62+$E$41*E62)*(1-$C$38)*'Données d''entrée'!$C$373)+D464,($C$41*C62+$D$41*D62+$E$41*E62)*E89-AF436-AH436-AJ436))</f>
        <v>0</v>
      </c>
      <c r="F464" s="373">
        <f t="shared" ref="F464:G464" si="385">Q141</f>
        <v>0</v>
      </c>
      <c r="G464" s="373">
        <f t="shared" si="385"/>
        <v>0</v>
      </c>
      <c r="H464" s="117">
        <f t="shared" si="356"/>
        <v>0</v>
      </c>
      <c r="I464" s="117">
        <f t="shared" si="357"/>
        <v>0</v>
      </c>
      <c r="J464" s="117">
        <f>IF(ISERROR(IF($C141='Données d''entrée'!$B$370,(N436+O436+R436+S436+V436+W436+Z436+AA436-AK436-AL436-AM436-AN436-AO436-AP436-AQ436-AR436)*'Données d''entrée'!$C$372,(N436+R436+V436+Z436-AK436-AM436-AO436-AQ436))),0,IF($C141='Données d''entrée'!$B$370,(N436+O436+R436+S436+V436+W436+Z436+AA436-AK436-AL436-AM436-AN436-AO436-AP436-AQ436-AR436)*'Données d''entrée'!$C$372,(N436+R436+V436+Z436-AK436-AM436-AO436-AQ436)))</f>
        <v>0</v>
      </c>
      <c r="K464" s="117">
        <f>IF(ISERROR(IF($C141='Données d''entrée'!$B$370,(($F$41*F62+$G$41*G62+$H$41*H62+$I$41*I62)*(1-$C$38)*'Données d''entrée'!$C$374)+J464,($F$41*F62+$G$41*G62+$H$41*H62+$I$41*I62)*D89-AK436-AM436-AO436-AQ436)),0,IF($C141='Données d''entrée'!$B$370,(($F$41*F62+$G$41*G62+$H$41*H62+$I$41*I62)*(1-$C$38)*'Données d''entrée'!$C$374)+J464,($F$41*F62+$G$41*G62+$H$41*H62+$I$41*I62)*D89-AK436-AM436-AO436-AQ436))</f>
        <v>0</v>
      </c>
      <c r="L464" s="117">
        <f>IF(ISERROR(IF($C141='Données d''entrée'!$B$370,(N436+O436+R436+S436+V436+W436+Z436+AA436-AK436-AL436-AM436-AN436-AO436-AP436-AQ436-AR436)*'Données d''entrée'!$C$371,(O436+S436+W436+AA436-AL436-AN436-AP436-AR436))),0,IF($C141='Données d''entrée'!$B$370,(N436+O436+R436+S436+V436+W436+Z436+AA436-AK436-AL436-AM436-AN436-AO436-AP436-AQ436-AR436)*'Données d''entrée'!$C$371,(O436+S436+W436+AA436-AL436-AN436-AP436-AR436)))</f>
        <v>0</v>
      </c>
      <c r="M464" s="117">
        <f>IF(ISERROR(IF($C141='Données d''entrée'!$B$370,(($F$41*F62+$G$41*G62+$H$41*H62+$I$41*I62)*(1-$C$38)*'Données d''entrée'!$C$373)+L464,($F$41*F62+$G$41*G62+$H$41*H62+$I$41*I62)*E89-AL436-AN436-AP436-AR436)),0,IF($C141='Données d''entrée'!$B$370,(($F$41*F62+$G$41*G62+$H$41*H62+$I$41*I62)*(1-$C$38)*'Données d''entrée'!$C$373)+L464,($F$41*F62+$G$41*G62+$H$41*H62+$I$41*I62)*E89-AL436-AN436-AP436-AR436))</f>
        <v>0</v>
      </c>
      <c r="N464" s="373">
        <f t="shared" ref="N464:O464" si="386">Y141</f>
        <v>0</v>
      </c>
      <c r="O464" s="373">
        <f t="shared" si="386"/>
        <v>0</v>
      </c>
      <c r="P464" s="117">
        <f t="shared" si="359"/>
        <v>0</v>
      </c>
      <c r="Q464" s="117">
        <f t="shared" si="360"/>
        <v>0</v>
      </c>
    </row>
    <row r="465" spans="1:36" x14ac:dyDescent="0.35">
      <c r="A465" s="130">
        <v>16</v>
      </c>
      <c r="B465" s="117">
        <f>IF(ISERROR(IF($C142='Données d''entrée'!$B$370,(B437+C437+F437+G437+J437+K437-AE437-AF437-AG437-AH437-AI437-AJ437)*'Données d''entrée'!$C$372,(B437+F437+J437-AE437-AG437-AI437))),0,IF($C142='Données d''entrée'!$B$370,(B437+C437+F437+G437+J437+K437-AE437-AF437-AG437-AH437-AI437-AJ437)*'Données d''entrée'!$C$372,(B437+F437+J437-AE437-AG437-AI437)))</f>
        <v>0</v>
      </c>
      <c r="C465" s="117">
        <f>IF(ISERROR(IF($C142='Données d''entrée'!$B$370,(($C$41*C63+$D$41*D63+$E$41*E63)*(1-$C$38)*'Données d''entrée'!$C$374)+B465,($C$41*C63+$D$41*D63+$E$41*E63)*D90-AE437-AG437-AI437)),0,IF($C142='Données d''entrée'!$B$370,(($C$41*C63+$D$41*D63+$E$41*E63)*(1-$C$38)*'Données d''entrée'!$C$374)+B465,($C$41*C63+$D$41*D63+$E$41*E63)*D90-AE437-AG437-AI437))</f>
        <v>0</v>
      </c>
      <c r="D465" s="117">
        <f>IF(ISERROR(IF($C142='Données d''entrée'!$B$370,(B437+C437+F437+G437+J437+K437-AE437-AF437-AG437-AH437-AI437-AJ437)*'Données d''entrée'!$C$371,(C437+G437+K437-AF437-AH437-AJ437))),0,IF($C142='Données d''entrée'!$B$370,(B437+C437+F437+G437+J437+K437-AE437-AF437-AG437-AH437-AI437-AJ437)*'Données d''entrée'!$C$371,(C437+G437+K437-AF437-AH437-AJ437)))</f>
        <v>0</v>
      </c>
      <c r="E465" s="117">
        <f>IF(ISERROR(IF($C142='Données d''entrée'!$B$370,(($C$41*C63+$D$41*D63+$E$41*E63)*(1-$C$38)*'Données d''entrée'!$C$373)+D465,($C$41*C63+$D$41*D63+$E$41*E63)*E90-AF437-AH437-AJ437)),0,IF($C142='Données d''entrée'!$B$370,(($C$41*C63+$D$41*D63+$E$41*E63)*(1-$C$38)*'Données d''entrée'!$C$373)+D465,($C$41*C63+$D$41*D63+$E$41*E63)*E90-AF437-AH437-AJ437))</f>
        <v>0</v>
      </c>
      <c r="F465" s="373">
        <f t="shared" ref="F465:G465" si="387">Q142</f>
        <v>0</v>
      </c>
      <c r="G465" s="373">
        <f t="shared" si="387"/>
        <v>0</v>
      </c>
      <c r="H465" s="117">
        <f t="shared" si="356"/>
        <v>0</v>
      </c>
      <c r="I465" s="117">
        <f t="shared" si="357"/>
        <v>0</v>
      </c>
      <c r="J465" s="117">
        <f>IF(ISERROR(IF($C142='Données d''entrée'!$B$370,(N437+O437+R437+S437+V437+W437+Z437+AA437-AK437-AL437-AM437-AN437-AO437-AP437-AQ437-AR437)*'Données d''entrée'!$C$372,(N437+R437+V437+Z437-AK437-AM437-AO437-AQ437))),0,IF($C142='Données d''entrée'!$B$370,(N437+O437+R437+S437+V437+W437+Z437+AA437-AK437-AL437-AM437-AN437-AO437-AP437-AQ437-AR437)*'Données d''entrée'!$C$372,(N437+R437+V437+Z437-AK437-AM437-AO437-AQ437)))</f>
        <v>0</v>
      </c>
      <c r="K465" s="117">
        <f>IF(ISERROR(IF($C142='Données d''entrée'!$B$370,(($F$41*F63+$G$41*G63+$H$41*H63+$I$41*I63)*(1-$C$38)*'Données d''entrée'!$C$374)+J465,($F$41*F63+$G$41*G63+$H$41*H63+$I$41*I63)*D90-AK437-AM437-AO437-AQ437)),0,IF($C142='Données d''entrée'!$B$370,(($F$41*F63+$G$41*G63+$H$41*H63+$I$41*I63)*(1-$C$38)*'Données d''entrée'!$C$374)+J465,($F$41*F63+$G$41*G63+$H$41*H63+$I$41*I63)*D90-AK437-AM437-AO437-AQ437))</f>
        <v>0</v>
      </c>
      <c r="L465" s="117">
        <f>IF(ISERROR(IF($C142='Données d''entrée'!$B$370,(N437+O437+R437+S437+V437+W437+Z437+AA437-AK437-AL437-AM437-AN437-AO437-AP437-AQ437-AR437)*'Données d''entrée'!$C$371,(O437+S437+W437+AA437-AL437-AN437-AP437-AR437))),0,IF($C142='Données d''entrée'!$B$370,(N437+O437+R437+S437+V437+W437+Z437+AA437-AK437-AL437-AM437-AN437-AO437-AP437-AQ437-AR437)*'Données d''entrée'!$C$371,(O437+S437+W437+AA437-AL437-AN437-AP437-AR437)))</f>
        <v>0</v>
      </c>
      <c r="M465" s="117">
        <f>IF(ISERROR(IF($C142='Données d''entrée'!$B$370,(($F$41*F63+$G$41*G63+$H$41*H63+$I$41*I63)*(1-$C$38)*'Données d''entrée'!$C$373)+L465,($F$41*F63+$G$41*G63+$H$41*H63+$I$41*I63)*E90-AL437-AN437-AP437-AR437)),0,IF($C142='Données d''entrée'!$B$370,(($F$41*F63+$G$41*G63+$H$41*H63+$I$41*I63)*(1-$C$38)*'Données d''entrée'!$C$373)+L465,($F$41*F63+$G$41*G63+$H$41*H63+$I$41*I63)*E90-AL437-AN437-AP437-AR437))</f>
        <v>0</v>
      </c>
      <c r="N465" s="373">
        <f t="shared" ref="N465:O465" si="388">Y142</f>
        <v>0</v>
      </c>
      <c r="O465" s="373">
        <f t="shared" si="388"/>
        <v>0</v>
      </c>
      <c r="P465" s="117">
        <f t="shared" si="359"/>
        <v>0</v>
      </c>
      <c r="Q465" s="117">
        <f t="shared" si="360"/>
        <v>0</v>
      </c>
    </row>
    <row r="466" spans="1:36" x14ac:dyDescent="0.35">
      <c r="A466" s="130">
        <v>17</v>
      </c>
      <c r="B466" s="117">
        <f>IF(ISERROR(IF($C143='Données d''entrée'!$B$370,(B438+C438+F438+G438+J438+K438-AE438-AF438-AG438-AH438-AI438-AJ438)*'Données d''entrée'!$C$372,(B438+F438+J438-AE438-AG438-AI438))),0,IF($C143='Données d''entrée'!$B$370,(B438+C438+F438+G438+J438+K438-AE438-AF438-AG438-AH438-AI438-AJ438)*'Données d''entrée'!$C$372,(B438+F438+J438-AE438-AG438-AI438)))</f>
        <v>0</v>
      </c>
      <c r="C466" s="117">
        <f>IF(ISERROR(IF($C143='Données d''entrée'!$B$370,(($C$41*C64+$D$41*D64+$E$41*E64)*(1-$C$38)*'Données d''entrée'!$C$374)+B466,($C$41*C64+$D$41*D64+$E$41*E64)*D91-AE438-AG438-AI438)),0,IF($C143='Données d''entrée'!$B$370,(($C$41*C64+$D$41*D64+$E$41*E64)*(1-$C$38)*'Données d''entrée'!$C$374)+B466,($C$41*C64+$D$41*D64+$E$41*E64)*D91-AE438-AG438-AI438))</f>
        <v>0</v>
      </c>
      <c r="D466" s="117">
        <f>IF(ISERROR(IF($C143='Données d''entrée'!$B$370,(B438+C438+F438+G438+J438+K438-AE438-AF438-AG438-AH438-AI438-AJ438)*'Données d''entrée'!$C$371,(C438+G438+K438-AF438-AH438-AJ438))),0,IF($C143='Données d''entrée'!$B$370,(B438+C438+F438+G438+J438+K438-AE438-AF438-AG438-AH438-AI438-AJ438)*'Données d''entrée'!$C$371,(C438+G438+K438-AF438-AH438-AJ438)))</f>
        <v>0</v>
      </c>
      <c r="E466" s="117">
        <f>IF(ISERROR(IF($C143='Données d''entrée'!$B$370,(($C$41*C64+$D$41*D64+$E$41*E64)*(1-$C$38)*'Données d''entrée'!$C$373)+D466,($C$41*C64+$D$41*D64+$E$41*E64)*E91-AF438-AH438-AJ438)),0,IF($C143='Données d''entrée'!$B$370,(($C$41*C64+$D$41*D64+$E$41*E64)*(1-$C$38)*'Données d''entrée'!$C$373)+D466,($C$41*C64+$D$41*D64+$E$41*E64)*E91-AF438-AH438-AJ438))</f>
        <v>0</v>
      </c>
      <c r="F466" s="373">
        <f t="shared" ref="F466:G466" si="389">Q143</f>
        <v>0</v>
      </c>
      <c r="G466" s="373">
        <f t="shared" si="389"/>
        <v>0</v>
      </c>
      <c r="H466" s="117">
        <f t="shared" si="356"/>
        <v>0</v>
      </c>
      <c r="I466" s="117">
        <f t="shared" si="357"/>
        <v>0</v>
      </c>
      <c r="J466" s="117">
        <f>IF(ISERROR(IF($C143='Données d''entrée'!$B$370,(N438+O438+R438+S438+V438+W438+Z438+AA438-AK438-AL438-AM438-AN438-AO438-AP438-AQ438-AR438)*'Données d''entrée'!$C$372,(N438+R438+V438+Z438-AK438-AM438-AO438-AQ438))),0,IF($C143='Données d''entrée'!$B$370,(N438+O438+R438+S438+V438+W438+Z438+AA438-AK438-AL438-AM438-AN438-AO438-AP438-AQ438-AR438)*'Données d''entrée'!$C$372,(N438+R438+V438+Z438-AK438-AM438-AO438-AQ438)))</f>
        <v>0</v>
      </c>
      <c r="K466" s="117">
        <f>IF(ISERROR(IF($C143='Données d''entrée'!$B$370,(($F$41*F64+$G$41*G64+$H$41*H64+$I$41*I64)*(1-$C$38)*'Données d''entrée'!$C$374)+J466,($F$41*F64+$G$41*G64+$H$41*H64+$I$41*I64)*D91-AK438-AM438-AO438-AQ438)),0,IF($C143='Données d''entrée'!$B$370,(($F$41*F64+$G$41*G64+$H$41*H64+$I$41*I64)*(1-$C$38)*'Données d''entrée'!$C$374)+J466,($F$41*F64+$G$41*G64+$H$41*H64+$I$41*I64)*D91-AK438-AM438-AO438-AQ438))</f>
        <v>0</v>
      </c>
      <c r="L466" s="117">
        <f>IF(ISERROR(IF($C143='Données d''entrée'!$B$370,(N438+O438+R438+S438+V438+W438+Z438+AA438-AK438-AL438-AM438-AN438-AO438-AP438-AQ438-AR438)*'Données d''entrée'!$C$371,(O438+S438+W438+AA438-AL438-AN438-AP438-AR438))),0,IF($C143='Données d''entrée'!$B$370,(N438+O438+R438+S438+V438+W438+Z438+AA438-AK438-AL438-AM438-AN438-AO438-AP438-AQ438-AR438)*'Données d''entrée'!$C$371,(O438+S438+W438+AA438-AL438-AN438-AP438-AR438)))</f>
        <v>0</v>
      </c>
      <c r="M466" s="117">
        <f>IF(ISERROR(IF($C143='Données d''entrée'!$B$370,(($F$41*F64+$G$41*G64+$H$41*H64+$I$41*I64)*(1-$C$38)*'Données d''entrée'!$C$373)+L466,($F$41*F64+$G$41*G64+$H$41*H64+$I$41*I64)*E91-AL438-AN438-AP438-AR438)),0,IF($C143='Données d''entrée'!$B$370,(($F$41*F64+$G$41*G64+$H$41*H64+$I$41*I64)*(1-$C$38)*'Données d''entrée'!$C$373)+L466,($F$41*F64+$G$41*G64+$H$41*H64+$I$41*I64)*E91-AL438-AN438-AP438-AR438))</f>
        <v>0</v>
      </c>
      <c r="N466" s="373">
        <f t="shared" ref="N466:O466" si="390">Y143</f>
        <v>0</v>
      </c>
      <c r="O466" s="373">
        <f t="shared" si="390"/>
        <v>0</v>
      </c>
      <c r="P466" s="117">
        <f t="shared" si="359"/>
        <v>0</v>
      </c>
      <c r="Q466" s="117">
        <f t="shared" si="360"/>
        <v>0</v>
      </c>
    </row>
    <row r="467" spans="1:36" x14ac:dyDescent="0.35">
      <c r="A467" s="130">
        <v>18</v>
      </c>
      <c r="B467" s="117">
        <f>IF(ISERROR(IF($C144='Données d''entrée'!$B$370,(B439+C439+F439+G439+J439+K439-AE439-AF439-AG439-AH439-AI439-AJ439)*'Données d''entrée'!$C$372,(B439+F439+J439-AE439-AG439-AI439))),0,IF($C144='Données d''entrée'!$B$370,(B439+C439+F439+G439+J439+K439-AE439-AF439-AG439-AH439-AI439-AJ439)*'Données d''entrée'!$C$372,(B439+F439+J439-AE439-AG439-AI439)))</f>
        <v>0</v>
      </c>
      <c r="C467" s="117">
        <f>IF(ISERROR(IF($C144='Données d''entrée'!$B$370,(($C$41*C65+$D$41*D65+$E$41*E65)*(1-$C$38)*'Données d''entrée'!$C$374)+B467,($C$41*C65+$D$41*D65+$E$41*E65)*D92-AE439-AG439-AI439)),0,IF($C144='Données d''entrée'!$B$370,(($C$41*C65+$D$41*D65+$E$41*E65)*(1-$C$38)*'Données d''entrée'!$C$374)+B467,($C$41*C65+$D$41*D65+$E$41*E65)*D92-AE439-AG439-AI439))</f>
        <v>0</v>
      </c>
      <c r="D467" s="117">
        <f>IF(ISERROR(IF($C144='Données d''entrée'!$B$370,(B439+C439+F439+G439+J439+K439-AE439-AF439-AG439-AH439-AI439-AJ439)*'Données d''entrée'!$C$371,(C439+G439+K439-AF439-AH439-AJ439))),0,IF($C144='Données d''entrée'!$B$370,(B439+C439+F439+G439+J439+K439-AE439-AF439-AG439-AH439-AI439-AJ439)*'Données d''entrée'!$C$371,(C439+G439+K439-AF439-AH439-AJ439)))</f>
        <v>0</v>
      </c>
      <c r="E467" s="117">
        <f>IF(ISERROR(IF($C144='Données d''entrée'!$B$370,(($C$41*C65+$D$41*D65+$E$41*E65)*(1-$C$38)*'Données d''entrée'!$C$373)+D467,($C$41*C65+$D$41*D65+$E$41*E65)*E92-AF439-AH439-AJ439)),0,IF($C144='Données d''entrée'!$B$370,(($C$41*C65+$D$41*D65+$E$41*E65)*(1-$C$38)*'Données d''entrée'!$C$373)+D467,($C$41*C65+$D$41*D65+$E$41*E65)*E92-AF439-AH439-AJ439))</f>
        <v>0</v>
      </c>
      <c r="F467" s="373">
        <f t="shared" ref="F467:G467" si="391">Q144</f>
        <v>0</v>
      </c>
      <c r="G467" s="373">
        <f t="shared" si="391"/>
        <v>0</v>
      </c>
      <c r="H467" s="117">
        <f t="shared" si="356"/>
        <v>0</v>
      </c>
      <c r="I467" s="117">
        <f t="shared" si="357"/>
        <v>0</v>
      </c>
      <c r="J467" s="117">
        <f>IF(ISERROR(IF($C144='Données d''entrée'!$B$370,(N439+O439+R439+S439+V439+W439+Z439+AA439-AK439-AL439-AM439-AN439-AO439-AP439-AQ439-AR439)*'Données d''entrée'!$C$372,(N439+R439+V439+Z439-AK439-AM439-AO439-AQ439))),0,IF($C144='Données d''entrée'!$B$370,(N439+O439+R439+S439+V439+W439+Z439+AA439-AK439-AL439-AM439-AN439-AO439-AP439-AQ439-AR439)*'Données d''entrée'!$C$372,(N439+R439+V439+Z439-AK439-AM439-AO439-AQ439)))</f>
        <v>0</v>
      </c>
      <c r="K467" s="117">
        <f>IF(ISERROR(IF($C144='Données d''entrée'!$B$370,(($F$41*F65+$G$41*G65+$H$41*H65+$I$41*I65)*(1-$C$38)*'Données d''entrée'!$C$374)+J467,($F$41*F65+$G$41*G65+$H$41*H65+$I$41*I65)*D92-AK439-AM439-AO439-AQ439)),0,IF($C144='Données d''entrée'!$B$370,(($F$41*F65+$G$41*G65+$H$41*H65+$I$41*I65)*(1-$C$38)*'Données d''entrée'!$C$374)+J467,($F$41*F65+$G$41*G65+$H$41*H65+$I$41*I65)*D92-AK439-AM439-AO439-AQ439))</f>
        <v>0</v>
      </c>
      <c r="L467" s="117">
        <f>IF(ISERROR(IF($C144='Données d''entrée'!$B$370,(N439+O439+R439+S439+V439+W439+Z439+AA439-AK439-AL439-AM439-AN439-AO439-AP439-AQ439-AR439)*'Données d''entrée'!$C$371,(O439+S439+W439+AA439-AL439-AN439-AP439-AR439))),0,IF($C144='Données d''entrée'!$B$370,(N439+O439+R439+S439+V439+W439+Z439+AA439-AK439-AL439-AM439-AN439-AO439-AP439-AQ439-AR439)*'Données d''entrée'!$C$371,(O439+S439+W439+AA439-AL439-AN439-AP439-AR439)))</f>
        <v>0</v>
      </c>
      <c r="M467" s="117">
        <f>IF(ISERROR(IF($C144='Données d''entrée'!$B$370,(($F$41*F65+$G$41*G65+$H$41*H65+$I$41*I65)*(1-$C$38)*'Données d''entrée'!$C$373)+L467,($F$41*F65+$G$41*G65+$H$41*H65+$I$41*I65)*E92-AL439-AN439-AP439-AR439)),0,IF($C144='Données d''entrée'!$B$370,(($F$41*F65+$G$41*G65+$H$41*H65+$I$41*I65)*(1-$C$38)*'Données d''entrée'!$C$373)+L467,($F$41*F65+$G$41*G65+$H$41*H65+$I$41*I65)*E92-AL439-AN439-AP439-AR439))</f>
        <v>0</v>
      </c>
      <c r="N467" s="373">
        <f t="shared" ref="N467:O467" si="392">Y144</f>
        <v>0</v>
      </c>
      <c r="O467" s="373">
        <f t="shared" si="392"/>
        <v>0</v>
      </c>
      <c r="P467" s="117">
        <f t="shared" si="359"/>
        <v>0</v>
      </c>
      <c r="Q467" s="117">
        <f t="shared" si="360"/>
        <v>0</v>
      </c>
    </row>
    <row r="468" spans="1:36" x14ac:dyDescent="0.35">
      <c r="A468" s="130">
        <v>19</v>
      </c>
      <c r="B468" s="117">
        <f>IF(ISERROR(IF($C145='Données d''entrée'!$B$370,(B440+C440+F440+G440+J440+K440-AE440-AF440-AG440-AH440-AI440-AJ440)*'Données d''entrée'!$C$372,(B440+F440+J440-AE440-AG440-AI440))),0,IF($C145='Données d''entrée'!$B$370,(B440+C440+F440+G440+J440+K440-AE440-AF440-AG440-AH440-AI440-AJ440)*'Données d''entrée'!$C$372,(B440+F440+J440-AE440-AG440-AI440)))</f>
        <v>0</v>
      </c>
      <c r="C468" s="117">
        <f>IF(ISERROR(IF($C145='Données d''entrée'!$B$370,(($C$41*C66+$D$41*D66+$E$41*E66)*(1-$C$38)*'Données d''entrée'!$C$374)+B468,($C$41*C66+$D$41*D66+$E$41*E66)*D93-AE440-AG440-AI440)),0,IF($C145='Données d''entrée'!$B$370,(($C$41*C66+$D$41*D66+$E$41*E66)*(1-$C$38)*'Données d''entrée'!$C$374)+B468,($C$41*C66+$D$41*D66+$E$41*E66)*D93-AE440-AG440-AI440))</f>
        <v>0</v>
      </c>
      <c r="D468" s="117">
        <f>IF(ISERROR(IF($C145='Données d''entrée'!$B$370,(B440+C440+F440+G440+J440+K440-AE440-AF440-AG440-AH440-AI440-AJ440)*'Données d''entrée'!$C$371,(C440+G440+K440-AF440-AH440-AJ440))),0,IF($C145='Données d''entrée'!$B$370,(B440+C440+F440+G440+J440+K440-AE440-AF440-AG440-AH440-AI440-AJ440)*'Données d''entrée'!$C$371,(C440+G440+K440-AF440-AH440-AJ440)))</f>
        <v>0</v>
      </c>
      <c r="E468" s="117">
        <f>IF(ISERROR(IF($C145='Données d''entrée'!$B$370,(($C$41*C66+$D$41*D66+$E$41*E66)*(1-$C$38)*'Données d''entrée'!$C$373)+D468,($C$41*C66+$D$41*D66+$E$41*E66)*E93-AF440-AH440-AJ440)),0,IF($C145='Données d''entrée'!$B$370,(($C$41*C66+$D$41*D66+$E$41*E66)*(1-$C$38)*'Données d''entrée'!$C$373)+D468,($C$41*C66+$D$41*D66+$E$41*E66)*E93-AF440-AH440-AJ440))</f>
        <v>0</v>
      </c>
      <c r="F468" s="373">
        <f t="shared" ref="F468:G468" si="393">Q145</f>
        <v>0</v>
      </c>
      <c r="G468" s="373">
        <f t="shared" si="393"/>
        <v>0</v>
      </c>
      <c r="H468" s="117">
        <f t="shared" si="356"/>
        <v>0</v>
      </c>
      <c r="I468" s="117">
        <f t="shared" si="357"/>
        <v>0</v>
      </c>
      <c r="J468" s="117">
        <f>IF(ISERROR(IF($C145='Données d''entrée'!$B$370,(N440+O440+R440+S440+V440+W440+Z440+AA440-AK440-AL440-AM440-AN440-AO440-AP440-AQ440-AR440)*'Données d''entrée'!$C$372,(N440+R440+V440+Z440-AK440-AM440-AO440-AQ440))),0,IF($C145='Données d''entrée'!$B$370,(N440+O440+R440+S440+V440+W440+Z440+AA440-AK440-AL440-AM440-AN440-AO440-AP440-AQ440-AR440)*'Données d''entrée'!$C$372,(N440+R440+V440+Z440-AK440-AM440-AO440-AQ440)))</f>
        <v>0</v>
      </c>
      <c r="K468" s="117">
        <f>IF(ISERROR(IF($C145='Données d''entrée'!$B$370,(($F$41*F66+$G$41*G66+$H$41*H66+$I$41*I66)*(1-$C$38)*'Données d''entrée'!$C$374)+J468,($F$41*F66+$G$41*G66+$H$41*H66+$I$41*I66)*D93-AK440-AM440-AO440-AQ440)),0,IF($C145='Données d''entrée'!$B$370,(($F$41*F66+$G$41*G66+$H$41*H66+$I$41*I66)*(1-$C$38)*'Données d''entrée'!$C$374)+J468,($F$41*F66+$G$41*G66+$H$41*H66+$I$41*I66)*D93-AK440-AM440-AO440-AQ440))</f>
        <v>0</v>
      </c>
      <c r="L468" s="117">
        <f>IF(ISERROR(IF($C145='Données d''entrée'!$B$370,(N440+O440+R440+S440+V440+W440+Z440+AA440-AK440-AL440-AM440-AN440-AO440-AP440-AQ440-AR440)*'Données d''entrée'!$C$371,(O440+S440+W440+AA440-AL440-AN440-AP440-AR440))),0,IF($C145='Données d''entrée'!$B$370,(N440+O440+R440+S440+V440+W440+Z440+AA440-AK440-AL440-AM440-AN440-AO440-AP440-AQ440-AR440)*'Données d''entrée'!$C$371,(O440+S440+W440+AA440-AL440-AN440-AP440-AR440)))</f>
        <v>0</v>
      </c>
      <c r="M468" s="117">
        <f>IF(ISERROR(IF($C145='Données d''entrée'!$B$370,(($F$41*F66+$G$41*G66+$H$41*H66+$I$41*I66)*(1-$C$38)*'Données d''entrée'!$C$373)+L468,($F$41*F66+$G$41*G66+$H$41*H66+$I$41*I66)*E93-AL440-AN440-AP440-AR440)),0,IF($C145='Données d''entrée'!$B$370,(($F$41*F66+$G$41*G66+$H$41*H66+$I$41*I66)*(1-$C$38)*'Données d''entrée'!$C$373)+L468,($F$41*F66+$G$41*G66+$H$41*H66+$I$41*I66)*E93-AL440-AN440-AP440-AR440))</f>
        <v>0</v>
      </c>
      <c r="N468" s="373">
        <f t="shared" ref="N468:O468" si="394">Y145</f>
        <v>0</v>
      </c>
      <c r="O468" s="373">
        <f t="shared" si="394"/>
        <v>0</v>
      </c>
      <c r="P468" s="117">
        <f t="shared" si="359"/>
        <v>0</v>
      </c>
      <c r="Q468" s="117">
        <f t="shared" si="360"/>
        <v>0</v>
      </c>
    </row>
    <row r="469" spans="1:36" x14ac:dyDescent="0.35">
      <c r="A469" s="130">
        <v>20</v>
      </c>
      <c r="B469" s="117">
        <f>IF(ISERROR(IF($C146='Données d''entrée'!$B$370,(B441+C441+F441+G441+J441+K441-AE441-AF441-AG441-AH441-AI441-AJ441)*'Données d''entrée'!$C$372,(B441+F441+J441-AE441-AG441-AI441))),0,IF($C146='Données d''entrée'!$B$370,(B441+C441+F441+G441+J441+K441-AE441-AF441-AG441-AH441-AI441-AJ441)*'Données d''entrée'!$C$372,(B441+F441+J441-AE441-AG441-AI441)))</f>
        <v>0</v>
      </c>
      <c r="C469" s="117">
        <f>IF(ISERROR(IF($C146='Données d''entrée'!$B$370,(($C$41*C67+$D$41*D67+$E$41*E67)*(1-$C$38)*'Données d''entrée'!$C$374)+B469,($C$41*C67+$D$41*D67+$E$41*E67)*D94-AE441-AG441-AI441)),0,IF($C146='Données d''entrée'!$B$370,(($C$41*C67+$D$41*D67+$E$41*E67)*(1-$C$38)*'Données d''entrée'!$C$374)+B469,($C$41*C67+$D$41*D67+$E$41*E67)*D94-AE441-AG441-AI441))</f>
        <v>0</v>
      </c>
      <c r="D469" s="117">
        <f>IF(ISERROR(IF($C146='Données d''entrée'!$B$370,(B441+C441+F441+G441+J441+K441-AE441-AF441-AG441-AH441-AI441-AJ441)*'Données d''entrée'!$C$371,(C441+G441+K441-AF441-AH441-AJ441))),0,IF($C146='Données d''entrée'!$B$370,(B441+C441+F441+G441+J441+K441-AE441-AF441-AG441-AH441-AI441-AJ441)*'Données d''entrée'!$C$371,(C441+G441+K441-AF441-AH441-AJ441)))</f>
        <v>0</v>
      </c>
      <c r="E469" s="117">
        <f>IF(ISERROR(IF($C146='Données d''entrée'!$B$370,(($C$41*C67+$D$41*D67+$E$41*E67)*(1-$C$38)*'Données d''entrée'!$C$373)+D469,($C$41*C67+$D$41*D67+$E$41*E67)*E94-AF441-AH441-AJ441)),0,IF($C146='Données d''entrée'!$B$370,(($C$41*C67+$D$41*D67+$E$41*E67)*(1-$C$38)*'Données d''entrée'!$C$373)+D469,($C$41*C67+$D$41*D67+$E$41*E67)*E94-AF441-AH441-AJ441))</f>
        <v>0</v>
      </c>
      <c r="F469" s="373">
        <f t="shared" ref="F469:G469" si="395">Q146</f>
        <v>0</v>
      </c>
      <c r="G469" s="373">
        <f t="shared" si="395"/>
        <v>0</v>
      </c>
      <c r="H469" s="117">
        <f t="shared" si="356"/>
        <v>0</v>
      </c>
      <c r="I469" s="117">
        <f t="shared" si="357"/>
        <v>0</v>
      </c>
      <c r="J469" s="117">
        <f>IF(ISERROR(IF($C146='Données d''entrée'!$B$370,(N441+O441+R441+S441+V441+W441+Z441+AA441-AK441-AL441-AM441-AN441-AO441-AP441-AQ441-AR441)*'Données d''entrée'!$C$372,(N441+R441+V441+Z441-AK441-AM441-AO441-AQ441))),0,IF($C146='Données d''entrée'!$B$370,(N441+O441+R441+S441+V441+W441+Z441+AA441-AK441-AL441-AM441-AN441-AO441-AP441-AQ441-AR441)*'Données d''entrée'!$C$372,(N441+R441+V441+Z441-AK441-AM441-AO441-AQ441)))</f>
        <v>0</v>
      </c>
      <c r="K469" s="117">
        <f>IF(ISERROR(IF($C146='Données d''entrée'!$B$370,(($F$41*F67+$G$41*G67+$H$41*H67+$I$41*I67)*(1-$C$38)*'Données d''entrée'!$C$374)+J469,($F$41*F67+$G$41*G67+$H$41*H67+$I$41*I67)*D94-AK441-AM441-AO441-AQ441)),0,IF($C146='Données d''entrée'!$B$370,(($F$41*F67+$G$41*G67+$H$41*H67+$I$41*I67)*(1-$C$38)*'Données d''entrée'!$C$374)+J469,($F$41*F67+$G$41*G67+$H$41*H67+$I$41*I67)*D94-AK441-AM441-AO441-AQ441))</f>
        <v>0</v>
      </c>
      <c r="L469" s="117">
        <f>IF(ISERROR(IF($C146='Données d''entrée'!$B$370,(N441+O441+R441+S441+V441+W441+Z441+AA441-AK441-AL441-AM441-AN441-AO441-AP441-AQ441-AR441)*'Données d''entrée'!$C$371,(O441+S441+W441+AA441-AL441-AN441-AP441-AR441))),0,IF($C146='Données d''entrée'!$B$370,(N441+O441+R441+S441+V441+W441+Z441+AA441-AK441-AL441-AM441-AN441-AO441-AP441-AQ441-AR441)*'Données d''entrée'!$C$371,(O441+S441+W441+AA441-AL441-AN441-AP441-AR441)))</f>
        <v>0</v>
      </c>
      <c r="M469" s="117">
        <f>IF(ISERROR(IF($C146='Données d''entrée'!$B$370,(($F$41*F67+$G$41*G67+$H$41*H67+$I$41*I67)*(1-$C$38)*'Données d''entrée'!$C$373)+L469,($F$41*F67+$G$41*G67+$H$41*H67+$I$41*I67)*E94-AL441-AN441-AP441-AR441)),0,IF($C146='Données d''entrée'!$B$370,(($F$41*F67+$G$41*G67+$H$41*H67+$I$41*I67)*(1-$C$38)*'Données d''entrée'!$C$373)+L469,($F$41*F67+$G$41*G67+$H$41*H67+$I$41*I67)*E94-AL441-AN441-AP441-AR441))</f>
        <v>0</v>
      </c>
      <c r="N469" s="373">
        <f t="shared" ref="N469:O469" si="396">Y146</f>
        <v>0</v>
      </c>
      <c r="O469" s="373">
        <f t="shared" si="396"/>
        <v>0</v>
      </c>
      <c r="P469" s="117">
        <f t="shared" si="359"/>
        <v>0</v>
      </c>
      <c r="Q469" s="117">
        <f t="shared" si="360"/>
        <v>0</v>
      </c>
    </row>
    <row r="470" spans="1:36" x14ac:dyDescent="0.35">
      <c r="D470"/>
    </row>
    <row r="471" spans="1:36" x14ac:dyDescent="0.35">
      <c r="B471" s="517" t="s">
        <v>493</v>
      </c>
      <c r="C471" s="518"/>
      <c r="D471" s="518"/>
      <c r="E471" s="518"/>
      <c r="F471" s="518"/>
      <c r="G471" s="518"/>
      <c r="H471" s="518"/>
      <c r="I471" s="518"/>
      <c r="J471" s="518"/>
      <c r="K471" s="518"/>
      <c r="L471" s="519"/>
      <c r="M471" s="517" t="s">
        <v>205</v>
      </c>
      <c r="N471" s="518"/>
      <c r="O471" s="518"/>
      <c r="P471" s="518"/>
      <c r="Q471" s="518"/>
      <c r="R471" s="518"/>
      <c r="S471" s="518"/>
      <c r="T471" s="518"/>
      <c r="U471" s="518"/>
      <c r="V471" s="518"/>
      <c r="W471" s="519"/>
      <c r="X471" s="520" t="s">
        <v>19</v>
      </c>
    </row>
    <row r="472" spans="1:36" ht="43.5" x14ac:dyDescent="0.35">
      <c r="B472" s="112" t="s">
        <v>466</v>
      </c>
      <c r="C472" s="112" t="s">
        <v>467</v>
      </c>
      <c r="D472" s="112" t="s">
        <v>655</v>
      </c>
      <c r="E472" s="112" t="s">
        <v>479</v>
      </c>
      <c r="F472" s="112" t="s">
        <v>190</v>
      </c>
      <c r="G472" s="112" t="s">
        <v>464</v>
      </c>
      <c r="H472" s="112" t="s">
        <v>465</v>
      </c>
      <c r="I472" s="112" t="s">
        <v>481</v>
      </c>
      <c r="J472" s="112" t="s">
        <v>482</v>
      </c>
      <c r="K472" s="112" t="s">
        <v>483</v>
      </c>
      <c r="L472" s="112" t="s">
        <v>484</v>
      </c>
      <c r="M472" s="112" t="s">
        <v>466</v>
      </c>
      <c r="N472" s="112" t="s">
        <v>467</v>
      </c>
      <c r="O472" s="112" t="s">
        <v>655</v>
      </c>
      <c r="P472" s="112" t="s">
        <v>479</v>
      </c>
      <c r="Q472" s="112" t="s">
        <v>190</v>
      </c>
      <c r="R472" s="112" t="s">
        <v>464</v>
      </c>
      <c r="S472" s="112" t="s">
        <v>465</v>
      </c>
      <c r="T472" s="112" t="s">
        <v>481</v>
      </c>
      <c r="U472" s="112" t="s">
        <v>482</v>
      </c>
      <c r="V472" s="112" t="s">
        <v>483</v>
      </c>
      <c r="W472" s="112" t="s">
        <v>484</v>
      </c>
      <c r="X472" s="521"/>
    </row>
    <row r="473" spans="1:36" x14ac:dyDescent="0.35">
      <c r="B473" s="117">
        <f>SUM(H450:H469)</f>
        <v>0</v>
      </c>
      <c r="C473" s="117">
        <f>SUM(D450:D469)</f>
        <v>0</v>
      </c>
      <c r="D473" s="117">
        <f>SUM(I450:I469)</f>
        <v>0</v>
      </c>
      <c r="E473" s="117">
        <f>SUM(E450:E469)</f>
        <v>0</v>
      </c>
      <c r="F473" s="160">
        <f>IF(ISERROR((E473-C473)*'Données d''entrée'!$C$404),"",(E473-C473)*'Données d''entrée'!$C$404)</f>
        <v>0</v>
      </c>
      <c r="G473" s="160">
        <f>B473</f>
        <v>0</v>
      </c>
      <c r="H473" s="160">
        <f>IF(ISERROR(C473+F473),"",C473+F473)</f>
        <v>0</v>
      </c>
      <c r="I473" s="119">
        <f>'Données d''entrée'!$D$355</f>
        <v>0.45</v>
      </c>
      <c r="J473" s="119">
        <f>'Données d''entrée'!$D$358</f>
        <v>0.14000000000000001</v>
      </c>
      <c r="K473" s="160">
        <f>IF(ISERROR(Emissions!G473*Emissions!I473),0,Emissions!G473*Emissions!I473)</f>
        <v>0</v>
      </c>
      <c r="L473" s="160">
        <f>IF(ISERROR(Emissions!H473*Emissions!J473),0,Emissions!H473*Emissions!J473)</f>
        <v>0</v>
      </c>
      <c r="M473" s="117">
        <f>SUM(P450:P469)</f>
        <v>0</v>
      </c>
      <c r="N473" s="117">
        <f>SUM(L450:L469)</f>
        <v>0</v>
      </c>
      <c r="O473" s="117">
        <f>SUM(Q450:Q469)</f>
        <v>0</v>
      </c>
      <c r="P473" s="117">
        <f>SUM(M450:M469)</f>
        <v>0</v>
      </c>
      <c r="Q473" s="160">
        <f>IF(ISERROR((P473-N473)*'Données d''entrée'!$C$404),"",(P473-N473)*'Données d''entrée'!$C$404)</f>
        <v>0</v>
      </c>
      <c r="R473" s="160">
        <f>M473</f>
        <v>0</v>
      </c>
      <c r="S473" s="160">
        <f>IF(ISERROR(N473+Q473),"",N473+Q473)</f>
        <v>0</v>
      </c>
      <c r="T473" s="119">
        <f>'Données d''entrée'!$D$355</f>
        <v>0.45</v>
      </c>
      <c r="U473" s="119">
        <f>'Données d''entrée'!$D$358</f>
        <v>0.14000000000000001</v>
      </c>
      <c r="V473" s="160">
        <f>IF(ISERROR(Emissions!R473*Emissions!T473),0,Emissions!R473*Emissions!T473)</f>
        <v>0</v>
      </c>
      <c r="W473" s="160">
        <f>IF(ISERROR(Emissions!S473*Emissions!U473),0,Emissions!S473*Emissions!U473)</f>
        <v>0</v>
      </c>
      <c r="X473" s="160">
        <f>K473+L473+V473+W473</f>
        <v>0</v>
      </c>
    </row>
    <row r="475" spans="1:36" ht="26" x14ac:dyDescent="0.6">
      <c r="B475" s="376" t="s">
        <v>206</v>
      </c>
      <c r="C475" s="148">
        <f>X473</f>
        <v>0</v>
      </c>
      <c r="D475" s="149" t="s">
        <v>15</v>
      </c>
    </row>
    <row r="478" spans="1:36" x14ac:dyDescent="0.35">
      <c r="B478" s="522" t="s">
        <v>493</v>
      </c>
      <c r="C478" s="523"/>
      <c r="D478" s="523"/>
      <c r="E478" s="523"/>
      <c r="F478" s="523"/>
      <c r="G478" s="523"/>
      <c r="H478" s="523"/>
      <c r="I478" s="523"/>
      <c r="J478" s="523"/>
      <c r="K478" s="523"/>
      <c r="L478" s="523"/>
      <c r="M478" s="523"/>
      <c r="N478" s="523"/>
      <c r="O478" s="523"/>
      <c r="P478" s="523"/>
      <c r="Q478" s="523"/>
      <c r="R478" s="524"/>
      <c r="S478" s="522" t="s">
        <v>205</v>
      </c>
      <c r="T478" s="523"/>
      <c r="U478" s="523"/>
      <c r="V478" s="523"/>
      <c r="W478" s="523"/>
      <c r="X478" s="523"/>
      <c r="Y478" s="523"/>
      <c r="Z478" s="523"/>
      <c r="AA478" s="523"/>
      <c r="AB478" s="523"/>
      <c r="AC478" s="523"/>
      <c r="AD478" s="523"/>
      <c r="AE478" s="523"/>
      <c r="AF478" s="523"/>
      <c r="AG478" s="524"/>
      <c r="AH478" s="520" t="s">
        <v>19</v>
      </c>
    </row>
    <row r="479" spans="1:36" ht="43.5" x14ac:dyDescent="0.35">
      <c r="B479" s="112" t="s">
        <v>464</v>
      </c>
      <c r="C479" s="112" t="s">
        <v>465</v>
      </c>
      <c r="D479" s="112" t="s">
        <v>483</v>
      </c>
      <c r="E479" s="112" t="s">
        <v>484</v>
      </c>
      <c r="F479" s="112" t="s">
        <v>517</v>
      </c>
      <c r="G479" s="112" t="s">
        <v>518</v>
      </c>
      <c r="H479" s="112" t="s">
        <v>519</v>
      </c>
      <c r="I479" s="112" t="s">
        <v>520</v>
      </c>
      <c r="J479" s="112" t="s">
        <v>521</v>
      </c>
      <c r="K479" s="112" t="s">
        <v>522</v>
      </c>
      <c r="L479" s="112" t="s">
        <v>489</v>
      </c>
      <c r="M479" s="112" t="s">
        <v>490</v>
      </c>
      <c r="N479" s="112" t="s">
        <v>491</v>
      </c>
      <c r="O479" s="112" t="s">
        <v>770</v>
      </c>
      <c r="P479" s="112" t="s">
        <v>771</v>
      </c>
      <c r="Q479" s="365" t="s">
        <v>297</v>
      </c>
      <c r="R479" s="365" t="s">
        <v>298</v>
      </c>
      <c r="S479" s="112" t="s">
        <v>464</v>
      </c>
      <c r="T479" s="112" t="s">
        <v>465</v>
      </c>
      <c r="U479" s="112" t="s">
        <v>483</v>
      </c>
      <c r="V479" s="112" t="s">
        <v>484</v>
      </c>
      <c r="W479" s="112" t="s">
        <v>517</v>
      </c>
      <c r="X479" s="112" t="s">
        <v>518</v>
      </c>
      <c r="Y479" s="112" t="s">
        <v>519</v>
      </c>
      <c r="Z479" s="112" t="s">
        <v>520</v>
      </c>
      <c r="AA479" s="112" t="s">
        <v>521</v>
      </c>
      <c r="AB479" s="112" t="s">
        <v>522</v>
      </c>
      <c r="AC479" s="112" t="s">
        <v>489</v>
      </c>
      <c r="AD479" s="112" t="s">
        <v>490</v>
      </c>
      <c r="AE479" s="112" t="s">
        <v>491</v>
      </c>
      <c r="AF479" s="365" t="s">
        <v>297</v>
      </c>
      <c r="AG479" s="365" t="s">
        <v>298</v>
      </c>
      <c r="AH479" s="521"/>
      <c r="AJ479" s="371" t="s">
        <v>751</v>
      </c>
    </row>
    <row r="480" spans="1:36" x14ac:dyDescent="0.35">
      <c r="B480" s="252">
        <f>G473</f>
        <v>0</v>
      </c>
      <c r="C480" s="252">
        <f>H473</f>
        <v>0</v>
      </c>
      <c r="D480" s="252">
        <f>K473</f>
        <v>0</v>
      </c>
      <c r="E480" s="252">
        <f>L473</f>
        <v>0</v>
      </c>
      <c r="F480" s="252">
        <f>IF(ISERROR(B480*'Données d''entrée'!$C$421),"",B480*'Données d''entrée'!$C$421)</f>
        <v>0</v>
      </c>
      <c r="G480" s="252">
        <f>IF(ISERROR(C480*'Données d''entrée'!$C$422),"",C480*'Données d''entrée'!$C$422)</f>
        <v>0</v>
      </c>
      <c r="H480" s="252">
        <f>IF(ISERROR((D473+E473+SUM(AE422:AJ441))*D473/(D473+E473)*'Données d''entrée'!$C$586),0,(D473+E473+SUM(AE422:AJ441))*D473/(D473+E473)*'Données d''entrée'!$C$586)</f>
        <v>0</v>
      </c>
      <c r="I480" s="252">
        <f>IF(ISERROR((D473+E473+SUM(AE422:AJ441))*E473/(D473+E473)*'Données d''entrée'!$C$584),0,(D473+E473+SUM(AE422:AJ441))*E473/(D473+E473)*'Données d''entrée'!$C$584)</f>
        <v>0</v>
      </c>
      <c r="J480" s="252">
        <f>IF(ISERROR(B480*'Données d''entrée'!$C$423),"",B480*'Données d''entrée'!$C$423)</f>
        <v>0</v>
      </c>
      <c r="K480" s="252">
        <f>IF(ISERROR(C480*'Données d''entrée'!$C$424),"",C480*'Données d''entrée'!$C$424)</f>
        <v>0</v>
      </c>
      <c r="L480" s="252">
        <f>IF(ISERROR(B480*'Données d''entrée'!$C$425),"",B480*'Données d''entrée'!$C$425)</f>
        <v>0</v>
      </c>
      <c r="M480" s="252">
        <f>IF(ISERROR(B480-D480-F480-H480-J480-L480),"",B480-D480-F480-H480-J480-L480)</f>
        <v>0</v>
      </c>
      <c r="N480" s="185">
        <f>IF(ISERROR(C480-E480-G480-I480-K480),"",C480-E480-G480-I480-K480)</f>
        <v>0</v>
      </c>
      <c r="O480" s="385">
        <f>'Données d''entrée'!$D$451</f>
        <v>0.75</v>
      </c>
      <c r="P480" s="385">
        <f>'Données d''entrée'!$D$434</f>
        <v>0.6</v>
      </c>
      <c r="Q480" s="142">
        <f>M480*$C$220*O480</f>
        <v>0</v>
      </c>
      <c r="R480" s="185">
        <f>N480*$D$220*P480</f>
        <v>0</v>
      </c>
      <c r="S480" s="252">
        <f>R473</f>
        <v>0</v>
      </c>
      <c r="T480" s="252">
        <f>S473</f>
        <v>0</v>
      </c>
      <c r="U480" s="252">
        <f>V473</f>
        <v>0</v>
      </c>
      <c r="V480" s="252">
        <f>W473</f>
        <v>0</v>
      </c>
      <c r="W480" s="252">
        <f>IF(ISERROR(S480*'Données d''entrée'!$C$421),"",S480*'Données d''entrée'!$C$421)</f>
        <v>0</v>
      </c>
      <c r="X480" s="252">
        <f>IF(ISERROR(T480*'Données d''entrée'!$C$422),"",T480*'Données d''entrée'!$C$422)</f>
        <v>0</v>
      </c>
      <c r="Y480" s="252">
        <f>IF(ISERROR((O473+P473+SUM(AK422:AR441))*O473/(O473+P473)*'Données d''entrée'!$C$586),0,(O473+P473+SUM(AK422:AR441))*O473/(O473+P473)*'Données d''entrée'!$C$586)</f>
        <v>0</v>
      </c>
      <c r="Z480" s="252">
        <f>IF(ISERROR((O473+P473+SUM(AK422:AR441))*P473/(O473+P473)*'Données d''entrée'!$C$586),0,(O473+P473+SUM(AK422:AR441))*P473/(O473+P473)*'Données d''entrée'!$C$586)</f>
        <v>0</v>
      </c>
      <c r="AA480" s="252">
        <f>IF(ISERROR(S480*'Données d''entrée'!$C$423),"",S480*'Données d''entrée'!$C$423)</f>
        <v>0</v>
      </c>
      <c r="AB480" s="252">
        <f>IF(ISERROR(T480*'Données d''entrée'!$C$424),"",T480*'Données d''entrée'!$C$424)</f>
        <v>0</v>
      </c>
      <c r="AC480" s="252">
        <f>IF(ISERROR(S480*'Données d''entrée'!$C$425),"",S480*'Données d''entrée'!$C$425)</f>
        <v>0</v>
      </c>
      <c r="AD480" s="252">
        <f>IF(ISERROR(S480-U480-W480-Y480-AA480-AC480),"",S480-U480-W480-Y480-AA480-AC480)</f>
        <v>0</v>
      </c>
      <c r="AE480" s="185">
        <f>IF(ISERROR(T480-V480-X480-Z480-AB480),"",T480-V480-X480-Z480-AB480)</f>
        <v>0</v>
      </c>
      <c r="AF480" s="142">
        <f>AD480*$C$220*O480</f>
        <v>0</v>
      </c>
      <c r="AG480" s="185">
        <f>AE480*$D$220*P480</f>
        <v>0</v>
      </c>
      <c r="AH480" s="160">
        <f>AG480+AF480+Q480+R480</f>
        <v>0</v>
      </c>
      <c r="AJ480" s="382">
        <f>D473+E473+O473+P473-(D480+E480+F480+G480+H480+I480+J480+K480+L480+U480+V480+W480+X480+Y480+Z480+AA480+AB480+AC480)</f>
        <v>0</v>
      </c>
    </row>
    <row r="482" spans="1:18" ht="26" x14ac:dyDescent="0.6">
      <c r="B482" s="376" t="s">
        <v>219</v>
      </c>
      <c r="C482" s="148">
        <f>AH480</f>
        <v>0</v>
      </c>
      <c r="D482" s="149" t="s">
        <v>15</v>
      </c>
    </row>
    <row r="486" spans="1:18" x14ac:dyDescent="0.35">
      <c r="A486" s="50" t="s">
        <v>746</v>
      </c>
    </row>
    <row r="488" spans="1:18" x14ac:dyDescent="0.35">
      <c r="B488" s="50" t="s">
        <v>747</v>
      </c>
    </row>
    <row r="489" spans="1:18" x14ac:dyDescent="0.35">
      <c r="B489" s="112" t="s">
        <v>46</v>
      </c>
      <c r="C489" s="112" t="s">
        <v>47</v>
      </c>
      <c r="D489" s="112" t="s">
        <v>51</v>
      </c>
      <c r="E489" s="112" t="s">
        <v>124</v>
      </c>
      <c r="F489" s="112" t="s">
        <v>49</v>
      </c>
      <c r="G489" s="112" t="s">
        <v>48</v>
      </c>
      <c r="H489" s="112" t="s">
        <v>52</v>
      </c>
    </row>
    <row r="490" spans="1:18" x14ac:dyDescent="0.35">
      <c r="B490" s="377">
        <f>C256</f>
        <v>0</v>
      </c>
      <c r="C490" s="377">
        <f t="shared" ref="C490:H490" si="397">D256</f>
        <v>0</v>
      </c>
      <c r="D490" s="377">
        <f t="shared" si="397"/>
        <v>0</v>
      </c>
      <c r="E490" s="377">
        <f t="shared" si="397"/>
        <v>0</v>
      </c>
      <c r="F490" s="377">
        <f t="shared" si="397"/>
        <v>0</v>
      </c>
      <c r="G490" s="377">
        <f t="shared" si="397"/>
        <v>0</v>
      </c>
      <c r="H490" s="377">
        <f t="shared" si="397"/>
        <v>0</v>
      </c>
    </row>
    <row r="493" spans="1:18" x14ac:dyDescent="0.35">
      <c r="B493" s="50" t="s">
        <v>748</v>
      </c>
    </row>
    <row r="495" spans="1:18" ht="15" customHeight="1" x14ac:dyDescent="0.35">
      <c r="B495" s="525" t="s">
        <v>248</v>
      </c>
      <c r="C495" s="527"/>
      <c r="D495" s="525" t="s">
        <v>205</v>
      </c>
      <c r="E495" s="527"/>
      <c r="F495" s="538" t="s">
        <v>629</v>
      </c>
      <c r="G495" s="538" t="s">
        <v>630</v>
      </c>
      <c r="H495" s="538" t="s">
        <v>633</v>
      </c>
      <c r="I495" s="538" t="s">
        <v>634</v>
      </c>
      <c r="J495" s="538" t="s">
        <v>631</v>
      </c>
      <c r="K495" s="538" t="s">
        <v>632</v>
      </c>
      <c r="L495" s="540" t="s">
        <v>622</v>
      </c>
      <c r="M495" s="540" t="s">
        <v>623</v>
      </c>
      <c r="N495" s="538" t="s">
        <v>633</v>
      </c>
      <c r="O495" s="538" t="s">
        <v>634</v>
      </c>
      <c r="P495" s="538" t="s">
        <v>631</v>
      </c>
      <c r="Q495" s="538" t="s">
        <v>632</v>
      </c>
      <c r="R495" s="559" t="s">
        <v>19</v>
      </c>
    </row>
    <row r="496" spans="1:18" ht="29" x14ac:dyDescent="0.35">
      <c r="B496" s="371" t="s">
        <v>497</v>
      </c>
      <c r="C496" s="371" t="s">
        <v>232</v>
      </c>
      <c r="D496" s="371" t="s">
        <v>232</v>
      </c>
      <c r="E496" s="371" t="s">
        <v>232</v>
      </c>
      <c r="F496" s="539"/>
      <c r="G496" s="539"/>
      <c r="H496" s="539"/>
      <c r="I496" s="539"/>
      <c r="J496" s="539"/>
      <c r="K496" s="539"/>
      <c r="L496" s="541"/>
      <c r="M496" s="541"/>
      <c r="N496" s="539"/>
      <c r="O496" s="539"/>
      <c r="P496" s="539"/>
      <c r="Q496" s="539"/>
      <c r="R496" s="560"/>
    </row>
    <row r="497" spans="1:18" x14ac:dyDescent="0.35">
      <c r="A497" s="130">
        <v>1</v>
      </c>
      <c r="B497" s="378">
        <f>K266</f>
        <v>0.3</v>
      </c>
      <c r="C497" s="378">
        <f t="shared" ref="C497:M512" si="398">L266</f>
        <v>0</v>
      </c>
      <c r="D497" s="378">
        <f t="shared" si="398"/>
        <v>0.46</v>
      </c>
      <c r="E497" s="378">
        <f t="shared" si="398"/>
        <v>0</v>
      </c>
      <c r="F497" s="378">
        <f>O266</f>
        <v>0</v>
      </c>
      <c r="G497" s="378">
        <f>P266</f>
        <v>0</v>
      </c>
      <c r="H497" s="378" t="e">
        <f t="shared" si="398"/>
        <v>#N/A</v>
      </c>
      <c r="I497" s="378" t="e">
        <f t="shared" si="398"/>
        <v>#N/A</v>
      </c>
      <c r="J497" s="185" t="e">
        <f>'Données d''entrée'!$C$471*'Données d''entrée'!$C$540*'Données d''entrée'!$C$539*Emissions!H497/100*F497</f>
        <v>#N/A</v>
      </c>
      <c r="K497" s="185" t="e">
        <f>'Données d''entrée'!$C$471*'Données d''entrée'!$C$540*'Données d''entrée'!$C$539*Emissions!I497/100*G497</f>
        <v>#N/A</v>
      </c>
      <c r="L497" s="378">
        <f t="shared" si="398"/>
        <v>0</v>
      </c>
      <c r="M497" s="378">
        <f t="shared" si="398"/>
        <v>0</v>
      </c>
      <c r="N497" s="379" t="e">
        <f>HLOOKUP($C$13,'Données d''entrée'!$D$502:$L$511,'Données d''entrée'!$E$486,FALSE)</f>
        <v>#N/A</v>
      </c>
      <c r="O497" s="379" t="e">
        <f>HLOOKUP($C$13,'Données d''entrée'!$D$502:$L$511,'Données d''entrée'!$J$486,FALSE)</f>
        <v>#N/A</v>
      </c>
      <c r="P497" s="185" t="e">
        <f>'Données d''entrée'!$C$471*'Données d''entrée'!$C$540*'Données d''entrée'!$C$539*Emissions!N497/100*L497</f>
        <v>#N/A</v>
      </c>
      <c r="Q497" s="185" t="e">
        <f>'Données d''entrée'!$C$471*'Données d''entrée'!$C$540*'Données d''entrée'!$C$539*Emissions!O497/100*M497</f>
        <v>#N/A</v>
      </c>
      <c r="R497" s="380" t="e">
        <f>J497+K497+P497+Q497</f>
        <v>#N/A</v>
      </c>
    </row>
    <row r="498" spans="1:18" x14ac:dyDescent="0.35">
      <c r="A498" s="130">
        <v>2</v>
      </c>
      <c r="B498" s="378">
        <f t="shared" ref="B498:B516" si="399">K267</f>
        <v>0.3</v>
      </c>
      <c r="C498" s="378">
        <f t="shared" si="398"/>
        <v>0</v>
      </c>
      <c r="D498" s="378">
        <f t="shared" si="398"/>
        <v>0.46</v>
      </c>
      <c r="E498" s="378">
        <f t="shared" si="398"/>
        <v>0</v>
      </c>
      <c r="F498" s="378">
        <f t="shared" si="398"/>
        <v>0</v>
      </c>
      <c r="G498" s="378">
        <f t="shared" si="398"/>
        <v>0</v>
      </c>
      <c r="H498" s="378" t="e">
        <f t="shared" si="398"/>
        <v>#N/A</v>
      </c>
      <c r="I498" s="378" t="e">
        <f t="shared" si="398"/>
        <v>#N/A</v>
      </c>
      <c r="J498" s="185" t="e">
        <f>'Données d''entrée'!$C$471*'Données d''entrée'!$C$540*'Données d''entrée'!$C$539*Emissions!H498/100*F498</f>
        <v>#N/A</v>
      </c>
      <c r="K498" s="185" t="e">
        <f>'Données d''entrée'!$C$471*'Données d''entrée'!$C$540*'Données d''entrée'!$C$539*Emissions!I498/100*G498</f>
        <v>#N/A</v>
      </c>
      <c r="L498" s="378">
        <f t="shared" si="398"/>
        <v>0</v>
      </c>
      <c r="M498" s="378">
        <f t="shared" si="398"/>
        <v>0</v>
      </c>
      <c r="N498" s="379" t="e">
        <f>HLOOKUP($C$13,'Données d''entrée'!$D$502:$L$511,'Données d''entrée'!$E$486,FALSE)</f>
        <v>#N/A</v>
      </c>
      <c r="O498" s="379" t="e">
        <f>HLOOKUP($C$13,'Données d''entrée'!$D$502:$L$511,'Données d''entrée'!$J$486,FALSE)</f>
        <v>#N/A</v>
      </c>
      <c r="P498" s="185" t="e">
        <f>'Données d''entrée'!$C$471*'Données d''entrée'!$C$540*'Données d''entrée'!$C$539*Emissions!N498/100*L498</f>
        <v>#N/A</v>
      </c>
      <c r="Q498" s="185" t="e">
        <f>'Données d''entrée'!$C$471*'Données d''entrée'!$C$540*'Données d''entrée'!$C$539*Emissions!O498/100*M498</f>
        <v>#N/A</v>
      </c>
      <c r="R498" s="380" t="e">
        <f t="shared" ref="R498:R516" si="400">J498+K498+P498+Q498</f>
        <v>#N/A</v>
      </c>
    </row>
    <row r="499" spans="1:18" x14ac:dyDescent="0.35">
      <c r="A499" s="130">
        <v>3</v>
      </c>
      <c r="B499" s="378">
        <f t="shared" si="399"/>
        <v>0.3</v>
      </c>
      <c r="C499" s="378">
        <f t="shared" si="398"/>
        <v>0</v>
      </c>
      <c r="D499" s="378">
        <f t="shared" si="398"/>
        <v>0.46</v>
      </c>
      <c r="E499" s="378">
        <f t="shared" si="398"/>
        <v>0</v>
      </c>
      <c r="F499" s="378">
        <f t="shared" si="398"/>
        <v>0</v>
      </c>
      <c r="G499" s="378">
        <f t="shared" si="398"/>
        <v>0</v>
      </c>
      <c r="H499" s="378" t="e">
        <f t="shared" si="398"/>
        <v>#N/A</v>
      </c>
      <c r="I499" s="378" t="e">
        <f t="shared" si="398"/>
        <v>#N/A</v>
      </c>
      <c r="J499" s="185" t="e">
        <f>'Données d''entrée'!$C$471*'Données d''entrée'!$C$540*'Données d''entrée'!$C$539*Emissions!H499/100*F499</f>
        <v>#N/A</v>
      </c>
      <c r="K499" s="185" t="e">
        <f>'Données d''entrée'!$C$471*'Données d''entrée'!$C$540*'Données d''entrée'!$C$539*Emissions!I499/100*G499</f>
        <v>#N/A</v>
      </c>
      <c r="L499" s="378">
        <f t="shared" si="398"/>
        <v>0</v>
      </c>
      <c r="M499" s="378">
        <f t="shared" si="398"/>
        <v>0</v>
      </c>
      <c r="N499" s="379" t="e">
        <f>HLOOKUP($C$13,'Données d''entrée'!$D$502:$L$511,'Données d''entrée'!$E$486,FALSE)</f>
        <v>#N/A</v>
      </c>
      <c r="O499" s="379" t="e">
        <f>HLOOKUP($C$13,'Données d''entrée'!$D$502:$L$511,'Données d''entrée'!$J$486,FALSE)</f>
        <v>#N/A</v>
      </c>
      <c r="P499" s="185" t="e">
        <f>'Données d''entrée'!$C$471*'Données d''entrée'!$C$540*'Données d''entrée'!$C$539*Emissions!N499/100*L499</f>
        <v>#N/A</v>
      </c>
      <c r="Q499" s="185" t="e">
        <f>'Données d''entrée'!$C$471*'Données d''entrée'!$C$540*'Données d''entrée'!$C$539*Emissions!O499/100*M499</f>
        <v>#N/A</v>
      </c>
      <c r="R499" s="380" t="e">
        <f t="shared" si="400"/>
        <v>#N/A</v>
      </c>
    </row>
    <row r="500" spans="1:18" x14ac:dyDescent="0.35">
      <c r="A500" s="130">
        <v>4</v>
      </c>
      <c r="B500" s="378">
        <f t="shared" si="399"/>
        <v>0.3</v>
      </c>
      <c r="C500" s="378">
        <f t="shared" si="398"/>
        <v>0</v>
      </c>
      <c r="D500" s="378">
        <f t="shared" si="398"/>
        <v>0.46</v>
      </c>
      <c r="E500" s="378">
        <f t="shared" si="398"/>
        <v>0</v>
      </c>
      <c r="F500" s="378">
        <f t="shared" si="398"/>
        <v>0</v>
      </c>
      <c r="G500" s="378">
        <f t="shared" si="398"/>
        <v>0</v>
      </c>
      <c r="H500" s="378" t="e">
        <f t="shared" si="398"/>
        <v>#N/A</v>
      </c>
      <c r="I500" s="378" t="e">
        <f t="shared" si="398"/>
        <v>#N/A</v>
      </c>
      <c r="J500" s="185" t="e">
        <f>'Données d''entrée'!$C$471*'Données d''entrée'!$C$540*'Données d''entrée'!$C$539*Emissions!H500/100*F500</f>
        <v>#N/A</v>
      </c>
      <c r="K500" s="185" t="e">
        <f>'Données d''entrée'!$C$471*'Données d''entrée'!$C$540*'Données d''entrée'!$C$539*Emissions!I500/100*G500</f>
        <v>#N/A</v>
      </c>
      <c r="L500" s="378">
        <f t="shared" si="398"/>
        <v>0</v>
      </c>
      <c r="M500" s="378">
        <f t="shared" si="398"/>
        <v>0</v>
      </c>
      <c r="N500" s="379" t="e">
        <f>HLOOKUP($C$13,'Données d''entrée'!$D$502:$L$511,'Données d''entrée'!$E$486,FALSE)</f>
        <v>#N/A</v>
      </c>
      <c r="O500" s="379" t="e">
        <f>HLOOKUP($C$13,'Données d''entrée'!$D$502:$L$511,'Données d''entrée'!$J$486,FALSE)</f>
        <v>#N/A</v>
      </c>
      <c r="P500" s="185" t="e">
        <f>'Données d''entrée'!$C$471*'Données d''entrée'!$C$540*'Données d''entrée'!$C$539*Emissions!N500/100*L500</f>
        <v>#N/A</v>
      </c>
      <c r="Q500" s="185" t="e">
        <f>'Données d''entrée'!$C$471*'Données d''entrée'!$C$540*'Données d''entrée'!$C$539*Emissions!O500/100*M500</f>
        <v>#N/A</v>
      </c>
      <c r="R500" s="380" t="e">
        <f t="shared" si="400"/>
        <v>#N/A</v>
      </c>
    </row>
    <row r="501" spans="1:18" x14ac:dyDescent="0.35">
      <c r="A501" s="130">
        <v>5</v>
      </c>
      <c r="B501" s="378">
        <f t="shared" si="399"/>
        <v>0.3</v>
      </c>
      <c r="C501" s="378">
        <f t="shared" si="398"/>
        <v>0</v>
      </c>
      <c r="D501" s="378">
        <f t="shared" si="398"/>
        <v>0.46</v>
      </c>
      <c r="E501" s="378">
        <f t="shared" si="398"/>
        <v>0</v>
      </c>
      <c r="F501" s="378">
        <f t="shared" si="398"/>
        <v>0</v>
      </c>
      <c r="G501" s="378">
        <f t="shared" si="398"/>
        <v>0</v>
      </c>
      <c r="H501" s="378" t="e">
        <f t="shared" si="398"/>
        <v>#N/A</v>
      </c>
      <c r="I501" s="378" t="e">
        <f t="shared" si="398"/>
        <v>#N/A</v>
      </c>
      <c r="J501" s="185" t="e">
        <f>'Données d''entrée'!$C$471*'Données d''entrée'!$C$540*'Données d''entrée'!$C$539*Emissions!H501/100*F501</f>
        <v>#N/A</v>
      </c>
      <c r="K501" s="185" t="e">
        <f>'Données d''entrée'!$C$471*'Données d''entrée'!$C$540*'Données d''entrée'!$C$539*Emissions!I501/100*G501</f>
        <v>#N/A</v>
      </c>
      <c r="L501" s="378">
        <f t="shared" si="398"/>
        <v>0</v>
      </c>
      <c r="M501" s="378">
        <f t="shared" si="398"/>
        <v>0</v>
      </c>
      <c r="N501" s="379" t="e">
        <f>HLOOKUP($C$13,'Données d''entrée'!$D$502:$L$511,'Données d''entrée'!$E$486,FALSE)</f>
        <v>#N/A</v>
      </c>
      <c r="O501" s="379" t="e">
        <f>HLOOKUP($C$13,'Données d''entrée'!$D$502:$L$511,'Données d''entrée'!$J$486,FALSE)</f>
        <v>#N/A</v>
      </c>
      <c r="P501" s="185" t="e">
        <f>'Données d''entrée'!$C$471*'Données d''entrée'!$C$540*'Données d''entrée'!$C$539*Emissions!N501/100*L501</f>
        <v>#N/A</v>
      </c>
      <c r="Q501" s="185" t="e">
        <f>'Données d''entrée'!$C$471*'Données d''entrée'!$C$540*'Données d''entrée'!$C$539*Emissions!O501/100*M501</f>
        <v>#N/A</v>
      </c>
      <c r="R501" s="380" t="e">
        <f t="shared" si="400"/>
        <v>#N/A</v>
      </c>
    </row>
    <row r="502" spans="1:18" x14ac:dyDescent="0.35">
      <c r="A502" s="130">
        <v>6</v>
      </c>
      <c r="B502" s="378">
        <f t="shared" si="399"/>
        <v>0.3</v>
      </c>
      <c r="C502" s="378">
        <f t="shared" si="398"/>
        <v>0</v>
      </c>
      <c r="D502" s="378">
        <f t="shared" si="398"/>
        <v>0.46</v>
      </c>
      <c r="E502" s="378">
        <f t="shared" si="398"/>
        <v>0</v>
      </c>
      <c r="F502" s="378">
        <f t="shared" si="398"/>
        <v>0</v>
      </c>
      <c r="G502" s="378">
        <f t="shared" si="398"/>
        <v>0</v>
      </c>
      <c r="H502" s="378" t="e">
        <f t="shared" si="398"/>
        <v>#N/A</v>
      </c>
      <c r="I502" s="378" t="e">
        <f t="shared" si="398"/>
        <v>#N/A</v>
      </c>
      <c r="J502" s="185" t="e">
        <f>'Données d''entrée'!$C$471*'Données d''entrée'!$C$540*'Données d''entrée'!$C$539*Emissions!H502/100*F502</f>
        <v>#N/A</v>
      </c>
      <c r="K502" s="185" t="e">
        <f>'Données d''entrée'!$C$471*'Données d''entrée'!$C$540*'Données d''entrée'!$C$539*Emissions!I502/100*G502</f>
        <v>#N/A</v>
      </c>
      <c r="L502" s="378">
        <f t="shared" si="398"/>
        <v>0</v>
      </c>
      <c r="M502" s="378">
        <f t="shared" si="398"/>
        <v>0</v>
      </c>
      <c r="N502" s="379" t="e">
        <f>HLOOKUP($C$13,'Données d''entrée'!$D$502:$L$511,'Données d''entrée'!$E$486,FALSE)</f>
        <v>#N/A</v>
      </c>
      <c r="O502" s="379" t="e">
        <f>HLOOKUP($C$13,'Données d''entrée'!$D$502:$L$511,'Données d''entrée'!$J$486,FALSE)</f>
        <v>#N/A</v>
      </c>
      <c r="P502" s="185" t="e">
        <f>'Données d''entrée'!$C$471*'Données d''entrée'!$C$540*'Données d''entrée'!$C$539*Emissions!N502/100*L502</f>
        <v>#N/A</v>
      </c>
      <c r="Q502" s="185" t="e">
        <f>'Données d''entrée'!$C$471*'Données d''entrée'!$C$540*'Données d''entrée'!$C$539*Emissions!O502/100*M502</f>
        <v>#N/A</v>
      </c>
      <c r="R502" s="380" t="e">
        <f t="shared" si="400"/>
        <v>#N/A</v>
      </c>
    </row>
    <row r="503" spans="1:18" x14ac:dyDescent="0.35">
      <c r="A503" s="130">
        <v>7</v>
      </c>
      <c r="B503" s="378">
        <f t="shared" si="399"/>
        <v>0.3</v>
      </c>
      <c r="C503" s="378">
        <f t="shared" si="398"/>
        <v>0</v>
      </c>
      <c r="D503" s="378">
        <f t="shared" si="398"/>
        <v>0.46</v>
      </c>
      <c r="E503" s="378">
        <f t="shared" si="398"/>
        <v>0</v>
      </c>
      <c r="F503" s="378">
        <f t="shared" si="398"/>
        <v>0</v>
      </c>
      <c r="G503" s="378">
        <f t="shared" si="398"/>
        <v>0</v>
      </c>
      <c r="H503" s="378" t="e">
        <f t="shared" si="398"/>
        <v>#N/A</v>
      </c>
      <c r="I503" s="378" t="e">
        <f t="shared" si="398"/>
        <v>#N/A</v>
      </c>
      <c r="J503" s="185" t="e">
        <f>'Données d''entrée'!$C$471*'Données d''entrée'!$C$540*'Données d''entrée'!$C$539*Emissions!H503/100*F503</f>
        <v>#N/A</v>
      </c>
      <c r="K503" s="185" t="e">
        <f>'Données d''entrée'!$C$471*'Données d''entrée'!$C$540*'Données d''entrée'!$C$539*Emissions!I503/100*G503</f>
        <v>#N/A</v>
      </c>
      <c r="L503" s="378">
        <f t="shared" si="398"/>
        <v>0</v>
      </c>
      <c r="M503" s="378">
        <f t="shared" si="398"/>
        <v>0</v>
      </c>
      <c r="N503" s="379" t="e">
        <f>HLOOKUP($C$13,'Données d''entrée'!$D$502:$L$511,'Données d''entrée'!$E$486,FALSE)</f>
        <v>#N/A</v>
      </c>
      <c r="O503" s="379" t="e">
        <f>HLOOKUP($C$13,'Données d''entrée'!$D$502:$L$511,'Données d''entrée'!$J$486,FALSE)</f>
        <v>#N/A</v>
      </c>
      <c r="P503" s="185" t="e">
        <f>'Données d''entrée'!$C$471*'Données d''entrée'!$C$540*'Données d''entrée'!$C$539*Emissions!N503/100*L503</f>
        <v>#N/A</v>
      </c>
      <c r="Q503" s="185" t="e">
        <f>'Données d''entrée'!$C$471*'Données d''entrée'!$C$540*'Données d''entrée'!$C$539*Emissions!O503/100*M503</f>
        <v>#N/A</v>
      </c>
      <c r="R503" s="380" t="e">
        <f t="shared" si="400"/>
        <v>#N/A</v>
      </c>
    </row>
    <row r="504" spans="1:18" x14ac:dyDescent="0.35">
      <c r="A504" s="130">
        <v>8</v>
      </c>
      <c r="B504" s="378">
        <f t="shared" si="399"/>
        <v>0.3</v>
      </c>
      <c r="C504" s="378">
        <f t="shared" si="398"/>
        <v>0</v>
      </c>
      <c r="D504" s="378">
        <f t="shared" si="398"/>
        <v>0.46</v>
      </c>
      <c r="E504" s="378">
        <f t="shared" si="398"/>
        <v>0</v>
      </c>
      <c r="F504" s="378">
        <f t="shared" si="398"/>
        <v>0</v>
      </c>
      <c r="G504" s="378">
        <f t="shared" si="398"/>
        <v>0</v>
      </c>
      <c r="H504" s="378" t="e">
        <f t="shared" si="398"/>
        <v>#N/A</v>
      </c>
      <c r="I504" s="378" t="e">
        <f t="shared" si="398"/>
        <v>#N/A</v>
      </c>
      <c r="J504" s="185" t="e">
        <f>'Données d''entrée'!$C$471*'Données d''entrée'!$C$540*'Données d''entrée'!$C$539*Emissions!H504/100*F504</f>
        <v>#N/A</v>
      </c>
      <c r="K504" s="185" t="e">
        <f>'Données d''entrée'!$C$471*'Données d''entrée'!$C$540*'Données d''entrée'!$C$539*Emissions!I504/100*G504</f>
        <v>#N/A</v>
      </c>
      <c r="L504" s="378">
        <f t="shared" si="398"/>
        <v>0</v>
      </c>
      <c r="M504" s="378">
        <f t="shared" si="398"/>
        <v>0</v>
      </c>
      <c r="N504" s="379" t="e">
        <f>HLOOKUP($C$13,'Données d''entrée'!$D$502:$L$511,'Données d''entrée'!$E$486,FALSE)</f>
        <v>#N/A</v>
      </c>
      <c r="O504" s="379" t="e">
        <f>HLOOKUP($C$13,'Données d''entrée'!$D$502:$L$511,'Données d''entrée'!$J$486,FALSE)</f>
        <v>#N/A</v>
      </c>
      <c r="P504" s="185" t="e">
        <f>'Données d''entrée'!$C$471*'Données d''entrée'!$C$540*'Données d''entrée'!$C$539*Emissions!N504/100*L504</f>
        <v>#N/A</v>
      </c>
      <c r="Q504" s="185" t="e">
        <f>'Données d''entrée'!$C$471*'Données d''entrée'!$C$540*'Données d''entrée'!$C$539*Emissions!O504/100*M504</f>
        <v>#N/A</v>
      </c>
      <c r="R504" s="380" t="e">
        <f t="shared" si="400"/>
        <v>#N/A</v>
      </c>
    </row>
    <row r="505" spans="1:18" x14ac:dyDescent="0.35">
      <c r="A505" s="130">
        <v>9</v>
      </c>
      <c r="B505" s="378">
        <f t="shared" si="399"/>
        <v>0.3</v>
      </c>
      <c r="C505" s="378">
        <f t="shared" si="398"/>
        <v>0</v>
      </c>
      <c r="D505" s="378">
        <f t="shared" si="398"/>
        <v>0.46</v>
      </c>
      <c r="E505" s="378">
        <f t="shared" si="398"/>
        <v>0</v>
      </c>
      <c r="F505" s="378">
        <f t="shared" si="398"/>
        <v>0</v>
      </c>
      <c r="G505" s="378">
        <f t="shared" si="398"/>
        <v>0</v>
      </c>
      <c r="H505" s="378" t="e">
        <f t="shared" si="398"/>
        <v>#N/A</v>
      </c>
      <c r="I505" s="378" t="e">
        <f t="shared" si="398"/>
        <v>#N/A</v>
      </c>
      <c r="J505" s="185" t="e">
        <f>'Données d''entrée'!$C$471*'Données d''entrée'!$C$540*'Données d''entrée'!$C$539*Emissions!H505/100*F505</f>
        <v>#N/A</v>
      </c>
      <c r="K505" s="185" t="e">
        <f>'Données d''entrée'!$C$471*'Données d''entrée'!$C$540*'Données d''entrée'!$C$539*Emissions!I505/100*G505</f>
        <v>#N/A</v>
      </c>
      <c r="L505" s="378">
        <f t="shared" si="398"/>
        <v>0</v>
      </c>
      <c r="M505" s="378">
        <f t="shared" si="398"/>
        <v>0</v>
      </c>
      <c r="N505" s="379" t="e">
        <f>HLOOKUP($C$13,'Données d''entrée'!$D$502:$L$511,'Données d''entrée'!$E$486,FALSE)</f>
        <v>#N/A</v>
      </c>
      <c r="O505" s="379" t="e">
        <f>HLOOKUP($C$13,'Données d''entrée'!$D$502:$L$511,'Données d''entrée'!$J$486,FALSE)</f>
        <v>#N/A</v>
      </c>
      <c r="P505" s="185" t="e">
        <f>'Données d''entrée'!$C$471*'Données d''entrée'!$C$540*'Données d''entrée'!$C$539*Emissions!N505/100*L505</f>
        <v>#N/A</v>
      </c>
      <c r="Q505" s="185" t="e">
        <f>'Données d''entrée'!$C$471*'Données d''entrée'!$C$540*'Données d''entrée'!$C$539*Emissions!O505/100*M505</f>
        <v>#N/A</v>
      </c>
      <c r="R505" s="380" t="e">
        <f t="shared" si="400"/>
        <v>#N/A</v>
      </c>
    </row>
    <row r="506" spans="1:18" x14ac:dyDescent="0.35">
      <c r="A506" s="130">
        <v>10</v>
      </c>
      <c r="B506" s="378">
        <f t="shared" si="399"/>
        <v>0.3</v>
      </c>
      <c r="C506" s="378">
        <f t="shared" si="398"/>
        <v>0</v>
      </c>
      <c r="D506" s="378">
        <f t="shared" si="398"/>
        <v>0.46</v>
      </c>
      <c r="E506" s="378">
        <f t="shared" si="398"/>
        <v>0</v>
      </c>
      <c r="F506" s="378">
        <f t="shared" si="398"/>
        <v>0</v>
      </c>
      <c r="G506" s="378">
        <f t="shared" si="398"/>
        <v>0</v>
      </c>
      <c r="H506" s="378" t="e">
        <f t="shared" si="398"/>
        <v>#N/A</v>
      </c>
      <c r="I506" s="378" t="e">
        <f t="shared" si="398"/>
        <v>#N/A</v>
      </c>
      <c r="J506" s="185" t="e">
        <f>'Données d''entrée'!$C$471*'Données d''entrée'!$C$540*'Données d''entrée'!$C$539*Emissions!H506/100*F506</f>
        <v>#N/A</v>
      </c>
      <c r="K506" s="185" t="e">
        <f>'Données d''entrée'!$C$471*'Données d''entrée'!$C$540*'Données d''entrée'!$C$539*Emissions!I506/100*G506</f>
        <v>#N/A</v>
      </c>
      <c r="L506" s="378">
        <f t="shared" si="398"/>
        <v>0</v>
      </c>
      <c r="M506" s="378">
        <f t="shared" si="398"/>
        <v>0</v>
      </c>
      <c r="N506" s="379" t="e">
        <f>HLOOKUP($C$13,'Données d''entrée'!$D$502:$L$511,'Données d''entrée'!$E$486,FALSE)</f>
        <v>#N/A</v>
      </c>
      <c r="O506" s="379" t="e">
        <f>HLOOKUP($C$13,'Données d''entrée'!$D$502:$L$511,'Données d''entrée'!$J$486,FALSE)</f>
        <v>#N/A</v>
      </c>
      <c r="P506" s="185" t="e">
        <f>'Données d''entrée'!$C$471*'Données d''entrée'!$C$540*'Données d''entrée'!$C$539*Emissions!N506/100*L506</f>
        <v>#N/A</v>
      </c>
      <c r="Q506" s="185" t="e">
        <f>'Données d''entrée'!$C$471*'Données d''entrée'!$C$540*'Données d''entrée'!$C$539*Emissions!O506/100*M506</f>
        <v>#N/A</v>
      </c>
      <c r="R506" s="380" t="e">
        <f t="shared" si="400"/>
        <v>#N/A</v>
      </c>
    </row>
    <row r="507" spans="1:18" x14ac:dyDescent="0.35">
      <c r="A507" s="130">
        <v>11</v>
      </c>
      <c r="B507" s="378">
        <f t="shared" si="399"/>
        <v>0.3</v>
      </c>
      <c r="C507" s="378">
        <f t="shared" si="398"/>
        <v>0</v>
      </c>
      <c r="D507" s="378">
        <f t="shared" si="398"/>
        <v>0.46</v>
      </c>
      <c r="E507" s="378">
        <f t="shared" si="398"/>
        <v>0</v>
      </c>
      <c r="F507" s="378">
        <f t="shared" si="398"/>
        <v>0</v>
      </c>
      <c r="G507" s="378">
        <f t="shared" si="398"/>
        <v>0</v>
      </c>
      <c r="H507" s="378" t="e">
        <f t="shared" si="398"/>
        <v>#N/A</v>
      </c>
      <c r="I507" s="378" t="e">
        <f t="shared" si="398"/>
        <v>#N/A</v>
      </c>
      <c r="J507" s="185" t="e">
        <f>'Données d''entrée'!$C$471*'Données d''entrée'!$C$540*'Données d''entrée'!$C$539*Emissions!H507/100*F507</f>
        <v>#N/A</v>
      </c>
      <c r="K507" s="185" t="e">
        <f>'Données d''entrée'!$C$471*'Données d''entrée'!$C$540*'Données d''entrée'!$C$539*Emissions!I507/100*G507</f>
        <v>#N/A</v>
      </c>
      <c r="L507" s="378">
        <f t="shared" si="398"/>
        <v>0</v>
      </c>
      <c r="M507" s="378">
        <f t="shared" si="398"/>
        <v>0</v>
      </c>
      <c r="N507" s="379" t="e">
        <f>HLOOKUP($C$13,'Données d''entrée'!$D$502:$L$511,'Données d''entrée'!$E$486,FALSE)</f>
        <v>#N/A</v>
      </c>
      <c r="O507" s="379" t="e">
        <f>HLOOKUP($C$13,'Données d''entrée'!$D$502:$L$511,'Données d''entrée'!$J$486,FALSE)</f>
        <v>#N/A</v>
      </c>
      <c r="P507" s="185" t="e">
        <f>'Données d''entrée'!$C$471*'Données d''entrée'!$C$540*'Données d''entrée'!$C$539*Emissions!N507/100*L507</f>
        <v>#N/A</v>
      </c>
      <c r="Q507" s="185" t="e">
        <f>'Données d''entrée'!$C$471*'Données d''entrée'!$C$540*'Données d''entrée'!$C$539*Emissions!O507/100*M507</f>
        <v>#N/A</v>
      </c>
      <c r="R507" s="380" t="e">
        <f t="shared" si="400"/>
        <v>#N/A</v>
      </c>
    </row>
    <row r="508" spans="1:18" x14ac:dyDescent="0.35">
      <c r="A508" s="130">
        <v>12</v>
      </c>
      <c r="B508" s="378">
        <f t="shared" si="399"/>
        <v>0.3</v>
      </c>
      <c r="C508" s="378">
        <f t="shared" si="398"/>
        <v>0</v>
      </c>
      <c r="D508" s="378">
        <f t="shared" si="398"/>
        <v>0.46</v>
      </c>
      <c r="E508" s="378">
        <f t="shared" si="398"/>
        <v>0</v>
      </c>
      <c r="F508" s="378">
        <f t="shared" si="398"/>
        <v>0</v>
      </c>
      <c r="G508" s="378">
        <f t="shared" si="398"/>
        <v>0</v>
      </c>
      <c r="H508" s="378" t="e">
        <f t="shared" si="398"/>
        <v>#N/A</v>
      </c>
      <c r="I508" s="378" t="e">
        <f t="shared" si="398"/>
        <v>#N/A</v>
      </c>
      <c r="J508" s="185" t="e">
        <f>'Données d''entrée'!$C$471*'Données d''entrée'!$C$540*'Données d''entrée'!$C$539*Emissions!H508/100*F508</f>
        <v>#N/A</v>
      </c>
      <c r="K508" s="185" t="e">
        <f>'Données d''entrée'!$C$471*'Données d''entrée'!$C$540*'Données d''entrée'!$C$539*Emissions!I508/100*G508</f>
        <v>#N/A</v>
      </c>
      <c r="L508" s="378">
        <f t="shared" si="398"/>
        <v>0</v>
      </c>
      <c r="M508" s="378">
        <f t="shared" si="398"/>
        <v>0</v>
      </c>
      <c r="N508" s="379" t="e">
        <f>HLOOKUP($C$13,'Données d''entrée'!$D$502:$L$511,'Données d''entrée'!$E$486,FALSE)</f>
        <v>#N/A</v>
      </c>
      <c r="O508" s="379" t="e">
        <f>HLOOKUP($C$13,'Données d''entrée'!$D$502:$L$511,'Données d''entrée'!$J$486,FALSE)</f>
        <v>#N/A</v>
      </c>
      <c r="P508" s="185" t="e">
        <f>'Données d''entrée'!$C$471*'Données d''entrée'!$C$540*'Données d''entrée'!$C$539*Emissions!N508/100*L508</f>
        <v>#N/A</v>
      </c>
      <c r="Q508" s="185" t="e">
        <f>'Données d''entrée'!$C$471*'Données d''entrée'!$C$540*'Données d''entrée'!$C$539*Emissions!O508/100*M508</f>
        <v>#N/A</v>
      </c>
      <c r="R508" s="380" t="e">
        <f t="shared" si="400"/>
        <v>#N/A</v>
      </c>
    </row>
    <row r="509" spans="1:18" x14ac:dyDescent="0.35">
      <c r="A509" s="130">
        <v>13</v>
      </c>
      <c r="B509" s="378">
        <f t="shared" si="399"/>
        <v>0.3</v>
      </c>
      <c r="C509" s="378">
        <f t="shared" si="398"/>
        <v>0</v>
      </c>
      <c r="D509" s="378">
        <f t="shared" si="398"/>
        <v>0.46</v>
      </c>
      <c r="E509" s="378">
        <f t="shared" si="398"/>
        <v>0</v>
      </c>
      <c r="F509" s="378">
        <f t="shared" si="398"/>
        <v>0</v>
      </c>
      <c r="G509" s="378">
        <f t="shared" si="398"/>
        <v>0</v>
      </c>
      <c r="H509" s="378" t="e">
        <f t="shared" si="398"/>
        <v>#N/A</v>
      </c>
      <c r="I509" s="378" t="e">
        <f t="shared" si="398"/>
        <v>#N/A</v>
      </c>
      <c r="J509" s="185" t="e">
        <f>'Données d''entrée'!$C$471*'Données d''entrée'!$C$540*'Données d''entrée'!$C$539*Emissions!H509/100*F509</f>
        <v>#N/A</v>
      </c>
      <c r="K509" s="185" t="e">
        <f>'Données d''entrée'!$C$471*'Données d''entrée'!$C$540*'Données d''entrée'!$C$539*Emissions!I509/100*G509</f>
        <v>#N/A</v>
      </c>
      <c r="L509" s="378">
        <f t="shared" si="398"/>
        <v>0</v>
      </c>
      <c r="M509" s="378">
        <f t="shared" si="398"/>
        <v>0</v>
      </c>
      <c r="N509" s="379" t="e">
        <f>HLOOKUP($C$13,'Données d''entrée'!$D$502:$L$511,'Données d''entrée'!$E$486,FALSE)</f>
        <v>#N/A</v>
      </c>
      <c r="O509" s="379" t="e">
        <f>HLOOKUP($C$13,'Données d''entrée'!$D$502:$L$511,'Données d''entrée'!$J$486,FALSE)</f>
        <v>#N/A</v>
      </c>
      <c r="P509" s="185" t="e">
        <f>'Données d''entrée'!$C$471*'Données d''entrée'!$C$540*'Données d''entrée'!$C$539*Emissions!N509/100*L509</f>
        <v>#N/A</v>
      </c>
      <c r="Q509" s="185" t="e">
        <f>'Données d''entrée'!$C$471*'Données d''entrée'!$C$540*'Données d''entrée'!$C$539*Emissions!O509/100*M509</f>
        <v>#N/A</v>
      </c>
      <c r="R509" s="380" t="e">
        <f t="shared" si="400"/>
        <v>#N/A</v>
      </c>
    </row>
    <row r="510" spans="1:18" x14ac:dyDescent="0.35">
      <c r="A510" s="130">
        <v>14</v>
      </c>
      <c r="B510" s="378">
        <f t="shared" si="399"/>
        <v>0.3</v>
      </c>
      <c r="C510" s="378">
        <f t="shared" si="398"/>
        <v>0</v>
      </c>
      <c r="D510" s="378">
        <f t="shared" si="398"/>
        <v>0.46</v>
      </c>
      <c r="E510" s="378">
        <f t="shared" si="398"/>
        <v>0</v>
      </c>
      <c r="F510" s="378">
        <f t="shared" si="398"/>
        <v>0</v>
      </c>
      <c r="G510" s="378">
        <f t="shared" si="398"/>
        <v>0</v>
      </c>
      <c r="H510" s="378" t="e">
        <f t="shared" si="398"/>
        <v>#N/A</v>
      </c>
      <c r="I510" s="378" t="e">
        <f t="shared" si="398"/>
        <v>#N/A</v>
      </c>
      <c r="J510" s="185" t="e">
        <f>'Données d''entrée'!$C$471*'Données d''entrée'!$C$540*'Données d''entrée'!$C$539*Emissions!H510/100*F510</f>
        <v>#N/A</v>
      </c>
      <c r="K510" s="185" t="e">
        <f>'Données d''entrée'!$C$471*'Données d''entrée'!$C$540*'Données d''entrée'!$C$539*Emissions!I510/100*G510</f>
        <v>#N/A</v>
      </c>
      <c r="L510" s="378">
        <f t="shared" si="398"/>
        <v>0</v>
      </c>
      <c r="M510" s="378">
        <f t="shared" si="398"/>
        <v>0</v>
      </c>
      <c r="N510" s="379" t="e">
        <f>HLOOKUP($C$13,'Données d''entrée'!$D$502:$L$511,'Données d''entrée'!$E$486,FALSE)</f>
        <v>#N/A</v>
      </c>
      <c r="O510" s="379" t="e">
        <f>HLOOKUP($C$13,'Données d''entrée'!$D$502:$L$511,'Données d''entrée'!$J$486,FALSE)</f>
        <v>#N/A</v>
      </c>
      <c r="P510" s="185" t="e">
        <f>'Données d''entrée'!$C$471*'Données d''entrée'!$C$540*'Données d''entrée'!$C$539*Emissions!N510/100*L510</f>
        <v>#N/A</v>
      </c>
      <c r="Q510" s="185" t="e">
        <f>'Données d''entrée'!$C$471*'Données d''entrée'!$C$540*'Données d''entrée'!$C$539*Emissions!O510/100*M510</f>
        <v>#N/A</v>
      </c>
      <c r="R510" s="380" t="e">
        <f t="shared" si="400"/>
        <v>#N/A</v>
      </c>
    </row>
    <row r="511" spans="1:18" x14ac:dyDescent="0.35">
      <c r="A511" s="130">
        <v>15</v>
      </c>
      <c r="B511" s="378">
        <f t="shared" si="399"/>
        <v>0.3</v>
      </c>
      <c r="C511" s="378">
        <f t="shared" si="398"/>
        <v>0</v>
      </c>
      <c r="D511" s="378">
        <f t="shared" si="398"/>
        <v>0.46</v>
      </c>
      <c r="E511" s="378">
        <f t="shared" si="398"/>
        <v>0</v>
      </c>
      <c r="F511" s="378">
        <f t="shared" si="398"/>
        <v>0</v>
      </c>
      <c r="G511" s="378">
        <f t="shared" si="398"/>
        <v>0</v>
      </c>
      <c r="H511" s="378" t="e">
        <f t="shared" si="398"/>
        <v>#N/A</v>
      </c>
      <c r="I511" s="378" t="e">
        <f t="shared" si="398"/>
        <v>#N/A</v>
      </c>
      <c r="J511" s="185" t="e">
        <f>'Données d''entrée'!$C$471*'Données d''entrée'!$C$540*'Données d''entrée'!$C$539*Emissions!H511/100*F511</f>
        <v>#N/A</v>
      </c>
      <c r="K511" s="185" t="e">
        <f>'Données d''entrée'!$C$471*'Données d''entrée'!$C$540*'Données d''entrée'!$C$539*Emissions!I511/100*G511</f>
        <v>#N/A</v>
      </c>
      <c r="L511" s="378">
        <f t="shared" si="398"/>
        <v>0</v>
      </c>
      <c r="M511" s="378">
        <f t="shared" si="398"/>
        <v>0</v>
      </c>
      <c r="N511" s="379" t="e">
        <f>HLOOKUP($C$13,'Données d''entrée'!$D$502:$L$511,'Données d''entrée'!$E$486,FALSE)</f>
        <v>#N/A</v>
      </c>
      <c r="O511" s="379" t="e">
        <f>HLOOKUP($C$13,'Données d''entrée'!$D$502:$L$511,'Données d''entrée'!$J$486,FALSE)</f>
        <v>#N/A</v>
      </c>
      <c r="P511" s="185" t="e">
        <f>'Données d''entrée'!$C$471*'Données d''entrée'!$C$540*'Données d''entrée'!$C$539*Emissions!N511/100*L511</f>
        <v>#N/A</v>
      </c>
      <c r="Q511" s="185" t="e">
        <f>'Données d''entrée'!$C$471*'Données d''entrée'!$C$540*'Données d''entrée'!$C$539*Emissions!O511/100*M511</f>
        <v>#N/A</v>
      </c>
      <c r="R511" s="380" t="e">
        <f t="shared" si="400"/>
        <v>#N/A</v>
      </c>
    </row>
    <row r="512" spans="1:18" x14ac:dyDescent="0.35">
      <c r="A512" s="130">
        <v>16</v>
      </c>
      <c r="B512" s="378">
        <f t="shared" si="399"/>
        <v>0.3</v>
      </c>
      <c r="C512" s="378">
        <f t="shared" si="398"/>
        <v>0</v>
      </c>
      <c r="D512" s="378">
        <f t="shared" si="398"/>
        <v>0.46</v>
      </c>
      <c r="E512" s="378">
        <f t="shared" si="398"/>
        <v>0</v>
      </c>
      <c r="F512" s="378">
        <f t="shared" si="398"/>
        <v>0</v>
      </c>
      <c r="G512" s="378">
        <f t="shared" si="398"/>
        <v>0</v>
      </c>
      <c r="H512" s="378" t="e">
        <f t="shared" si="398"/>
        <v>#N/A</v>
      </c>
      <c r="I512" s="378" t="e">
        <f t="shared" si="398"/>
        <v>#N/A</v>
      </c>
      <c r="J512" s="185" t="e">
        <f>'Données d''entrée'!$C$471*'Données d''entrée'!$C$540*'Données d''entrée'!$C$539*Emissions!H512/100*F512</f>
        <v>#N/A</v>
      </c>
      <c r="K512" s="185" t="e">
        <f>'Données d''entrée'!$C$471*'Données d''entrée'!$C$540*'Données d''entrée'!$C$539*Emissions!I512/100*G512</f>
        <v>#N/A</v>
      </c>
      <c r="L512" s="378">
        <f t="shared" si="398"/>
        <v>0</v>
      </c>
      <c r="M512" s="378">
        <f t="shared" si="398"/>
        <v>0</v>
      </c>
      <c r="N512" s="379" t="e">
        <f>HLOOKUP($C$13,'Données d''entrée'!$D$502:$L$511,'Données d''entrée'!$E$486,FALSE)</f>
        <v>#N/A</v>
      </c>
      <c r="O512" s="379" t="e">
        <f>HLOOKUP($C$13,'Données d''entrée'!$D$502:$L$511,'Données d''entrée'!$J$486,FALSE)</f>
        <v>#N/A</v>
      </c>
      <c r="P512" s="185" t="e">
        <f>'Données d''entrée'!$C$471*'Données d''entrée'!$C$540*'Données d''entrée'!$C$539*Emissions!N512/100*L512</f>
        <v>#N/A</v>
      </c>
      <c r="Q512" s="185" t="e">
        <f>'Données d''entrée'!$C$471*'Données d''entrée'!$C$540*'Données d''entrée'!$C$539*Emissions!O512/100*M512</f>
        <v>#N/A</v>
      </c>
      <c r="R512" s="380" t="e">
        <f t="shared" si="400"/>
        <v>#N/A</v>
      </c>
    </row>
    <row r="513" spans="1:18" x14ac:dyDescent="0.35">
      <c r="A513" s="130">
        <v>17</v>
      </c>
      <c r="B513" s="378">
        <f t="shared" si="399"/>
        <v>0.3</v>
      </c>
      <c r="C513" s="378">
        <f t="shared" ref="C513:C516" si="401">L282</f>
        <v>0</v>
      </c>
      <c r="D513" s="378">
        <f t="shared" ref="D513:D516" si="402">M282</f>
        <v>0.46</v>
      </c>
      <c r="E513" s="378">
        <f t="shared" ref="E513:E516" si="403">N282</f>
        <v>0</v>
      </c>
      <c r="F513" s="378">
        <f t="shared" ref="F513:F516" si="404">O282</f>
        <v>0</v>
      </c>
      <c r="G513" s="378">
        <f t="shared" ref="G513:G516" si="405">P282</f>
        <v>0</v>
      </c>
      <c r="H513" s="378" t="e">
        <f t="shared" ref="H513:H516" si="406">Q282</f>
        <v>#N/A</v>
      </c>
      <c r="I513" s="378" t="e">
        <f t="shared" ref="I513:I516" si="407">R282</f>
        <v>#N/A</v>
      </c>
      <c r="J513" s="185" t="e">
        <f>'Données d''entrée'!$C$471*'Données d''entrée'!$C$540*'Données d''entrée'!$C$539*Emissions!H513/100*F513</f>
        <v>#N/A</v>
      </c>
      <c r="K513" s="185" t="e">
        <f>'Données d''entrée'!$C$471*'Données d''entrée'!$C$540*'Données d''entrée'!$C$539*Emissions!I513/100*G513</f>
        <v>#N/A</v>
      </c>
      <c r="L513" s="378">
        <f t="shared" ref="L513:L516" si="408">U282</f>
        <v>0</v>
      </c>
      <c r="M513" s="378">
        <f t="shared" ref="M513:M516" si="409">V282</f>
        <v>0</v>
      </c>
      <c r="N513" s="379" t="e">
        <f>HLOOKUP($C$13,'Données d''entrée'!$D$502:$L$511,'Données d''entrée'!$E$486,FALSE)</f>
        <v>#N/A</v>
      </c>
      <c r="O513" s="379" t="e">
        <f>HLOOKUP($C$13,'Données d''entrée'!$D$502:$L$511,'Données d''entrée'!$J$486,FALSE)</f>
        <v>#N/A</v>
      </c>
      <c r="P513" s="185" t="e">
        <f>'Données d''entrée'!$C$471*'Données d''entrée'!$C$540*'Données d''entrée'!$C$539*Emissions!N513/100*L513</f>
        <v>#N/A</v>
      </c>
      <c r="Q513" s="185" t="e">
        <f>'Données d''entrée'!$C$471*'Données d''entrée'!$C$540*'Données d''entrée'!$C$539*Emissions!O513/100*M513</f>
        <v>#N/A</v>
      </c>
      <c r="R513" s="380" t="e">
        <f t="shared" si="400"/>
        <v>#N/A</v>
      </c>
    </row>
    <row r="514" spans="1:18" x14ac:dyDescent="0.35">
      <c r="A514" s="130">
        <v>18</v>
      </c>
      <c r="B514" s="378">
        <f t="shared" si="399"/>
        <v>0.3</v>
      </c>
      <c r="C514" s="378">
        <f t="shared" si="401"/>
        <v>0</v>
      </c>
      <c r="D514" s="378">
        <f t="shared" si="402"/>
        <v>0.46</v>
      </c>
      <c r="E514" s="378">
        <f t="shared" si="403"/>
        <v>0</v>
      </c>
      <c r="F514" s="378">
        <f t="shared" si="404"/>
        <v>0</v>
      </c>
      <c r="G514" s="378">
        <f t="shared" si="405"/>
        <v>0</v>
      </c>
      <c r="H514" s="378" t="e">
        <f t="shared" si="406"/>
        <v>#N/A</v>
      </c>
      <c r="I514" s="378" t="e">
        <f t="shared" si="407"/>
        <v>#N/A</v>
      </c>
      <c r="J514" s="185" t="e">
        <f>'Données d''entrée'!$C$471*'Données d''entrée'!$C$540*'Données d''entrée'!$C$539*Emissions!H514/100*F514</f>
        <v>#N/A</v>
      </c>
      <c r="K514" s="185" t="e">
        <f>'Données d''entrée'!$C$471*'Données d''entrée'!$C$540*'Données d''entrée'!$C$539*Emissions!I514/100*G514</f>
        <v>#N/A</v>
      </c>
      <c r="L514" s="378">
        <f t="shared" si="408"/>
        <v>0</v>
      </c>
      <c r="M514" s="378">
        <f t="shared" si="409"/>
        <v>0</v>
      </c>
      <c r="N514" s="379" t="e">
        <f>HLOOKUP($C$13,'Données d''entrée'!$D$502:$L$511,'Données d''entrée'!$E$486,FALSE)</f>
        <v>#N/A</v>
      </c>
      <c r="O514" s="379" t="e">
        <f>HLOOKUP($C$13,'Données d''entrée'!$D$502:$L$511,'Données d''entrée'!$J$486,FALSE)</f>
        <v>#N/A</v>
      </c>
      <c r="P514" s="185" t="e">
        <f>'Données d''entrée'!$C$471*'Données d''entrée'!$C$540*'Données d''entrée'!$C$539*Emissions!N514/100*L514</f>
        <v>#N/A</v>
      </c>
      <c r="Q514" s="185" t="e">
        <f>'Données d''entrée'!$C$471*'Données d''entrée'!$C$540*'Données d''entrée'!$C$539*Emissions!O514/100*M514</f>
        <v>#N/A</v>
      </c>
      <c r="R514" s="380" t="e">
        <f t="shared" si="400"/>
        <v>#N/A</v>
      </c>
    </row>
    <row r="515" spans="1:18" x14ac:dyDescent="0.35">
      <c r="A515" s="130">
        <v>19</v>
      </c>
      <c r="B515" s="378">
        <f t="shared" si="399"/>
        <v>0.3</v>
      </c>
      <c r="C515" s="378">
        <f t="shared" si="401"/>
        <v>0</v>
      </c>
      <c r="D515" s="378">
        <f t="shared" si="402"/>
        <v>0.46</v>
      </c>
      <c r="E515" s="378">
        <f t="shared" si="403"/>
        <v>0</v>
      </c>
      <c r="F515" s="378">
        <f t="shared" si="404"/>
        <v>0</v>
      </c>
      <c r="G515" s="378">
        <f t="shared" si="405"/>
        <v>0</v>
      </c>
      <c r="H515" s="378" t="e">
        <f t="shared" si="406"/>
        <v>#N/A</v>
      </c>
      <c r="I515" s="378" t="e">
        <f t="shared" si="407"/>
        <v>#N/A</v>
      </c>
      <c r="J515" s="185" t="e">
        <f>'Données d''entrée'!$C$471*'Données d''entrée'!$C$540*'Données d''entrée'!$C$539*Emissions!H515/100*F515</f>
        <v>#N/A</v>
      </c>
      <c r="K515" s="185" t="e">
        <f>'Données d''entrée'!$C$471*'Données d''entrée'!$C$540*'Données d''entrée'!$C$539*Emissions!I515/100*G515</f>
        <v>#N/A</v>
      </c>
      <c r="L515" s="378">
        <f t="shared" si="408"/>
        <v>0</v>
      </c>
      <c r="M515" s="378">
        <f t="shared" si="409"/>
        <v>0</v>
      </c>
      <c r="N515" s="379" t="e">
        <f>HLOOKUP($C$13,'Données d''entrée'!$D$502:$L$511,'Données d''entrée'!$E$486,FALSE)</f>
        <v>#N/A</v>
      </c>
      <c r="O515" s="379" t="e">
        <f>HLOOKUP($C$13,'Données d''entrée'!$D$502:$L$511,'Données d''entrée'!$J$486,FALSE)</f>
        <v>#N/A</v>
      </c>
      <c r="P515" s="185" t="e">
        <f>'Données d''entrée'!$C$471*'Données d''entrée'!$C$540*'Données d''entrée'!$C$539*Emissions!N515/100*L515</f>
        <v>#N/A</v>
      </c>
      <c r="Q515" s="185" t="e">
        <f>'Données d''entrée'!$C$471*'Données d''entrée'!$C$540*'Données d''entrée'!$C$539*Emissions!O515/100*M515</f>
        <v>#N/A</v>
      </c>
      <c r="R515" s="380" t="e">
        <f t="shared" si="400"/>
        <v>#N/A</v>
      </c>
    </row>
    <row r="516" spans="1:18" x14ac:dyDescent="0.35">
      <c r="A516" s="130">
        <v>20</v>
      </c>
      <c r="B516" s="378">
        <f t="shared" si="399"/>
        <v>0.3</v>
      </c>
      <c r="C516" s="378">
        <f t="shared" si="401"/>
        <v>0</v>
      </c>
      <c r="D516" s="378">
        <f t="shared" si="402"/>
        <v>0.46</v>
      </c>
      <c r="E516" s="378">
        <f t="shared" si="403"/>
        <v>0</v>
      </c>
      <c r="F516" s="378">
        <f t="shared" si="404"/>
        <v>0</v>
      </c>
      <c r="G516" s="378">
        <f t="shared" si="405"/>
        <v>0</v>
      </c>
      <c r="H516" s="378" t="e">
        <f t="shared" si="406"/>
        <v>#N/A</v>
      </c>
      <c r="I516" s="378" t="e">
        <f t="shared" si="407"/>
        <v>#N/A</v>
      </c>
      <c r="J516" s="185" t="e">
        <f>'Données d''entrée'!$C$471*'Données d''entrée'!$C$540*'Données d''entrée'!$C$539*Emissions!H516/100*F516</f>
        <v>#N/A</v>
      </c>
      <c r="K516" s="185" t="e">
        <f>'Données d''entrée'!$C$471*'Données d''entrée'!$C$540*'Données d''entrée'!$C$539*Emissions!I516/100*G516</f>
        <v>#N/A</v>
      </c>
      <c r="L516" s="378">
        <f t="shared" si="408"/>
        <v>0</v>
      </c>
      <c r="M516" s="378">
        <f t="shared" si="409"/>
        <v>0</v>
      </c>
      <c r="N516" s="379" t="e">
        <f>HLOOKUP($C$13,'Données d''entrée'!$D$502:$L$511,'Données d''entrée'!$E$486,FALSE)</f>
        <v>#N/A</v>
      </c>
      <c r="O516" s="379" t="e">
        <f>HLOOKUP($C$13,'Données d''entrée'!$D$502:$L$511,'Données d''entrée'!$J$486,FALSE)</f>
        <v>#N/A</v>
      </c>
      <c r="P516" s="185" t="e">
        <f>'Données d''entrée'!$C$471*'Données d''entrée'!$C$540*'Données d''entrée'!$C$539*Emissions!N516/100*L516</f>
        <v>#N/A</v>
      </c>
      <c r="Q516" s="185" t="e">
        <f>'Données d''entrée'!$C$471*'Données d''entrée'!$C$540*'Données d''entrée'!$C$539*Emissions!O516/100*M516</f>
        <v>#N/A</v>
      </c>
      <c r="R516" s="380" t="e">
        <f t="shared" si="400"/>
        <v>#N/A</v>
      </c>
    </row>
    <row r="519" spans="1:18" ht="26" x14ac:dyDescent="0.6">
      <c r="B519" s="376" t="s">
        <v>250</v>
      </c>
      <c r="C519" s="148">
        <f>IF(ISERROR(SUM(B490:H490)+SUM(R497:R516)),0,(SUM(B490:H490)+SUM(R497:R516)))</f>
        <v>0</v>
      </c>
      <c r="D519" s="149" t="s">
        <v>227</v>
      </c>
    </row>
    <row r="523" spans="1:18" x14ac:dyDescent="0.35">
      <c r="A523" s="50" t="s">
        <v>749</v>
      </c>
    </row>
    <row r="525" spans="1:18" x14ac:dyDescent="0.35">
      <c r="B525" s="522" t="s">
        <v>524</v>
      </c>
      <c r="C525" s="523"/>
      <c r="D525" s="523"/>
      <c r="E525" s="524"/>
      <c r="F525" s="522" t="s">
        <v>525</v>
      </c>
      <c r="G525" s="523"/>
      <c r="H525" s="523"/>
      <c r="I525" s="524"/>
      <c r="J525" s="522" t="s">
        <v>205</v>
      </c>
      <c r="K525" s="523"/>
      <c r="L525" s="523"/>
      <c r="M525" s="524"/>
      <c r="N525" s="559" t="s">
        <v>19</v>
      </c>
    </row>
    <row r="526" spans="1:18" ht="29" x14ac:dyDescent="0.35">
      <c r="B526" s="112" t="s">
        <v>618</v>
      </c>
      <c r="C526" s="112" t="s">
        <v>619</v>
      </c>
      <c r="D526" s="112" t="s">
        <v>256</v>
      </c>
      <c r="E526" s="112" t="s">
        <v>257</v>
      </c>
      <c r="F526" s="112" t="s">
        <v>618</v>
      </c>
      <c r="G526" s="112" t="s">
        <v>619</v>
      </c>
      <c r="H526" s="112" t="s">
        <v>256</v>
      </c>
      <c r="I526" s="112" t="s">
        <v>257</v>
      </c>
      <c r="J526" s="112" t="s">
        <v>618</v>
      </c>
      <c r="K526" s="112" t="s">
        <v>619</v>
      </c>
      <c r="L526" s="112" t="s">
        <v>256</v>
      </c>
      <c r="M526" s="112" t="s">
        <v>257</v>
      </c>
      <c r="N526" s="560"/>
    </row>
    <row r="527" spans="1:18" x14ac:dyDescent="0.35">
      <c r="B527" s="142" t="str">
        <f>IF(D353=100%,'Données d''entrée'!$C$555,"")</f>
        <v/>
      </c>
      <c r="C527" s="183" t="str">
        <f>IF(E324=100%,'Données d''entrée'!$F$555,"")</f>
        <v/>
      </c>
      <c r="D527" s="142" t="str">
        <f>IF(ISERROR(C$22*(1-C$23%/2)*C48*B527),"",C$22*(1-C$23%/2)*C48*B527)</f>
        <v/>
      </c>
      <c r="E527" s="185" t="str">
        <f>IF(ISERROR(C$22*(1-C$23%/2)*C48*C527),"",C$22*(1-C$23%/2)*C48*C527)</f>
        <v/>
      </c>
      <c r="F527" s="142" t="str">
        <f>IF(D324=100%,'Données d''entrée'!$E$556,"")</f>
        <v/>
      </c>
      <c r="G527" s="142" t="str">
        <f>IF(E324=100%,'Données d''entrée'!$F$556,"")</f>
        <v/>
      </c>
      <c r="H527" s="142" t="str">
        <f>IF(ISERROR((D$22*(1-D$23%/2)*D48+E$22*(1-E$23%/2)*E48)*F527),"",(D$22*(1-D$23%/2)*D48+E$22*(1-E$23%/2)*E48)*F527)</f>
        <v/>
      </c>
      <c r="I527" s="117" t="str">
        <f>IF(ISERROR((D$22*(1-D$23%/2)*D48+E$22*(1-E$23%/2)*E48)*G527),"",(D$22*(1-D$23%/2)*D48+E$22*(1-E$23%/2)*E48)*G527)</f>
        <v/>
      </c>
      <c r="J527" s="142" t="str">
        <f>IF(D324=100%,'Données d''entrée'!$E$557,"")</f>
        <v/>
      </c>
      <c r="K527" s="142" t="str">
        <f>IF(E324=100%,'Données d''entrée'!$F$557,"")</f>
        <v/>
      </c>
      <c r="L527" s="142" t="str">
        <f>IF(ISERROR((F$22*(1-F$23%/2)*F48+G$22*(1-G$23%/2)*G48+H$22*(1-H$23%/2)*H48+I$22*(1-I$23%/2)*I48)*J527),"",(F$22*(1-F$23%/2)*F48+G$22*(1-G$23%/2)*G48+H$22*(1-H$23%/2)*H48+I$22*(1-I$23%/2)*I48)*J527)</f>
        <v/>
      </c>
      <c r="M527" s="142" t="str">
        <f>IF(ISERROR((F$22*(1-F$23%/2)*F48+G$22*(1-G$23%/2)*G48+H$22*(1-H$23%/2)*H48+I$22*(1-I$23%/2)*I48)*K527),"",(F$22*(1-F$23%/2)*F48+G$22*(1-G$23%/2)*G48+H$22*(1-H$23%/2)*H48+I$22*(1-I$23%/2)*I48)*K527)</f>
        <v/>
      </c>
      <c r="N527" s="381">
        <f>SUM(D527,E527,H527,I527,L527,M527)</f>
        <v>0</v>
      </c>
    </row>
    <row r="528" spans="1:18" x14ac:dyDescent="0.35">
      <c r="B528" s="142" t="str">
        <f>IF(D354=100%,'Données d''entrée'!$C$555,"")</f>
        <v/>
      </c>
      <c r="C528" s="183" t="str">
        <f>IF(E325=100%,'Données d''entrée'!$F$555,"")</f>
        <v/>
      </c>
      <c r="D528" s="142" t="str">
        <f t="shared" ref="D528:D546" si="410">IF(ISERROR(C$22*(1-C$23%/2)*C49*B528),"",C$22*(1-C$23%/2)*C49*B528)</f>
        <v/>
      </c>
      <c r="E528" s="117" t="str">
        <f t="shared" ref="E528:E546" si="411">IF(ISERROR(C$22*(1-C$23%/2)*C49*C528),"",C$22*(1-C$23%/2)*C49*C528)</f>
        <v/>
      </c>
      <c r="F528" s="142" t="str">
        <f>IF(D325=100%,'Données d''entrée'!$E$556,"")</f>
        <v/>
      </c>
      <c r="G528" s="142" t="str">
        <f>IF(E325=100%,'Données d''entrée'!$F$556,"")</f>
        <v/>
      </c>
      <c r="H528" s="142" t="str">
        <f t="shared" ref="H528:H546" si="412">IF(ISERROR((D$22*(1-D$23%/2)*D49+E$22*(1-E$23%/2)*E49)*F528),"",(D$22*(1-D$23%/2)*D49+E$22*(1-E$23%/2)*E49)*F528)</f>
        <v/>
      </c>
      <c r="I528" s="117" t="str">
        <f t="shared" ref="I528:I546" si="413">IF(ISERROR((D$22*(1-D$23%/2)*D49+E$22*(1-E$23%/2)*E49)*G528),"",(D$22*(1-D$23%/2)*D49+E$22*(1-E$23%/2)*E49)*G528)</f>
        <v/>
      </c>
      <c r="J528" s="142" t="str">
        <f>IF(D325=100%,'Données d''entrée'!$E$557,"")</f>
        <v/>
      </c>
      <c r="K528" s="142" t="str">
        <f>IF(E325=100%,'Données d''entrée'!$F$557,"")</f>
        <v/>
      </c>
      <c r="L528" s="142" t="str">
        <f t="shared" ref="L528:L546" si="414">IF(ISERROR((F$22*(1-F$23%/2)*F49+G$22*(1-G$23%/2)*G49+H$22*(1-H$23%/2)*H49+I$22*(1-I$23%/2)*I49)*J528),"",(F$22*(1-F$23%/2)*F49+G$22*(1-G$23%/2)*G49+H$22*(1-H$23%/2)*H49+I$22*(1-I$23%/2)*I49)*J528)</f>
        <v/>
      </c>
      <c r="M528" s="142" t="str">
        <f t="shared" ref="M528:M546" si="415">IF(ISERROR((F$22*(1-F$23%/2)*F49+G$22*(1-G$23%/2)*G49+H$22*(1-H$23%/2)*H49+I$22*(1-I$23%/2)*I49)*K528),"",(F$22*(1-F$23%/2)*F49+G$22*(1-G$23%/2)*G49+H$22*(1-H$23%/2)*H49+I$22*(1-I$23%/2)*I49)*K528)</f>
        <v/>
      </c>
      <c r="N528" s="381">
        <f t="shared" ref="N528:N546" si="416">SUM(D528,E528,H528,I528,L528,M528)</f>
        <v>0</v>
      </c>
    </row>
    <row r="529" spans="2:14" x14ac:dyDescent="0.35">
      <c r="B529" s="142" t="str">
        <f>IF(D355=100%,'Données d''entrée'!$C$555,"")</f>
        <v/>
      </c>
      <c r="C529" s="183" t="str">
        <f>IF(E326=100%,'Données d''entrée'!$F$555,"")</f>
        <v/>
      </c>
      <c r="D529" s="142" t="str">
        <f t="shared" si="410"/>
        <v/>
      </c>
      <c r="E529" s="117" t="str">
        <f t="shared" si="411"/>
        <v/>
      </c>
      <c r="F529" s="142" t="str">
        <f>IF(D326=100%,'Données d''entrée'!$E$556,"")</f>
        <v/>
      </c>
      <c r="G529" s="142" t="str">
        <f>IF(E326=100%,'Données d''entrée'!$F$556,"")</f>
        <v/>
      </c>
      <c r="H529" s="142" t="str">
        <f t="shared" si="412"/>
        <v/>
      </c>
      <c r="I529" s="117" t="str">
        <f t="shared" si="413"/>
        <v/>
      </c>
      <c r="J529" s="142" t="str">
        <f>IF(D326=100%,'Données d''entrée'!$E$557,"")</f>
        <v/>
      </c>
      <c r="K529" s="142" t="str">
        <f>IF(E326=100%,'Données d''entrée'!$F$557,"")</f>
        <v/>
      </c>
      <c r="L529" s="142" t="str">
        <f t="shared" si="414"/>
        <v/>
      </c>
      <c r="M529" s="142" t="str">
        <f t="shared" si="415"/>
        <v/>
      </c>
      <c r="N529" s="381">
        <f t="shared" si="416"/>
        <v>0</v>
      </c>
    </row>
    <row r="530" spans="2:14" x14ac:dyDescent="0.35">
      <c r="B530" s="142" t="str">
        <f>IF(D356=100%,'Données d''entrée'!$C$555,"")</f>
        <v/>
      </c>
      <c r="C530" s="183" t="str">
        <f>IF(E327=100%,'Données d''entrée'!$F$555,"")</f>
        <v/>
      </c>
      <c r="D530" s="142" t="str">
        <f t="shared" si="410"/>
        <v/>
      </c>
      <c r="E530" s="117" t="str">
        <f t="shared" si="411"/>
        <v/>
      </c>
      <c r="F530" s="142" t="str">
        <f>IF(D327=100%,'Données d''entrée'!$E$556,"")</f>
        <v/>
      </c>
      <c r="G530" s="142" t="str">
        <f>IF(E327=100%,'Données d''entrée'!$F$556,"")</f>
        <v/>
      </c>
      <c r="H530" s="142" t="str">
        <f t="shared" si="412"/>
        <v/>
      </c>
      <c r="I530" s="117" t="str">
        <f t="shared" si="413"/>
        <v/>
      </c>
      <c r="J530" s="142" t="str">
        <f>IF(D327=100%,'Données d''entrée'!$E$557,"")</f>
        <v/>
      </c>
      <c r="K530" s="142" t="str">
        <f>IF(E327=100%,'Données d''entrée'!$F$557,"")</f>
        <v/>
      </c>
      <c r="L530" s="142" t="str">
        <f t="shared" si="414"/>
        <v/>
      </c>
      <c r="M530" s="142" t="str">
        <f t="shared" si="415"/>
        <v/>
      </c>
      <c r="N530" s="381">
        <f t="shared" si="416"/>
        <v>0</v>
      </c>
    </row>
    <row r="531" spans="2:14" x14ac:dyDescent="0.35">
      <c r="B531" s="142" t="str">
        <f>IF(D357=100%,'Données d''entrée'!$C$555,"")</f>
        <v/>
      </c>
      <c r="C531" s="183" t="str">
        <f>IF(E328=100%,'Données d''entrée'!$F$555,"")</f>
        <v/>
      </c>
      <c r="D531" s="142" t="str">
        <f t="shared" si="410"/>
        <v/>
      </c>
      <c r="E531" s="117" t="str">
        <f t="shared" si="411"/>
        <v/>
      </c>
      <c r="F531" s="142" t="str">
        <f>IF(D328=100%,'Données d''entrée'!$E$556,"")</f>
        <v/>
      </c>
      <c r="G531" s="142" t="str">
        <f>IF(E328=100%,'Données d''entrée'!$F$556,"")</f>
        <v/>
      </c>
      <c r="H531" s="142" t="str">
        <f t="shared" si="412"/>
        <v/>
      </c>
      <c r="I531" s="117" t="str">
        <f t="shared" si="413"/>
        <v/>
      </c>
      <c r="J531" s="142" t="str">
        <f>IF(D328=100%,'Données d''entrée'!$E$557,"")</f>
        <v/>
      </c>
      <c r="K531" s="142" t="str">
        <f>IF(E328=100%,'Données d''entrée'!$F$557,"")</f>
        <v/>
      </c>
      <c r="L531" s="142" t="str">
        <f t="shared" si="414"/>
        <v/>
      </c>
      <c r="M531" s="142" t="str">
        <f t="shared" si="415"/>
        <v/>
      </c>
      <c r="N531" s="381">
        <f t="shared" si="416"/>
        <v>0</v>
      </c>
    </row>
    <row r="532" spans="2:14" x14ac:dyDescent="0.35">
      <c r="B532" s="142" t="str">
        <f>IF(D358=100%,'Données d''entrée'!$C$555,"")</f>
        <v/>
      </c>
      <c r="C532" s="183" t="str">
        <f>IF(E329=100%,'Données d''entrée'!$F$555,"")</f>
        <v/>
      </c>
      <c r="D532" s="142" t="str">
        <f t="shared" si="410"/>
        <v/>
      </c>
      <c r="E532" s="117" t="str">
        <f t="shared" si="411"/>
        <v/>
      </c>
      <c r="F532" s="142" t="str">
        <f>IF(D329=100%,'Données d''entrée'!$E$556,"")</f>
        <v/>
      </c>
      <c r="G532" s="142" t="str">
        <f>IF(E329=100%,'Données d''entrée'!$F$556,"")</f>
        <v/>
      </c>
      <c r="H532" s="142" t="str">
        <f t="shared" si="412"/>
        <v/>
      </c>
      <c r="I532" s="117" t="str">
        <f t="shared" si="413"/>
        <v/>
      </c>
      <c r="J532" s="142" t="str">
        <f>IF(D329=100%,'Données d''entrée'!$E$557,"")</f>
        <v/>
      </c>
      <c r="K532" s="142" t="str">
        <f>IF(E329=100%,'Données d''entrée'!$F$557,"")</f>
        <v/>
      </c>
      <c r="L532" s="142" t="str">
        <f t="shared" si="414"/>
        <v/>
      </c>
      <c r="M532" s="142" t="str">
        <f t="shared" si="415"/>
        <v/>
      </c>
      <c r="N532" s="381">
        <f t="shared" si="416"/>
        <v>0</v>
      </c>
    </row>
    <row r="533" spans="2:14" x14ac:dyDescent="0.35">
      <c r="B533" s="142" t="str">
        <f>IF(D359=100%,'Données d''entrée'!$C$555,"")</f>
        <v/>
      </c>
      <c r="C533" s="183" t="str">
        <f>IF(E330=100%,'Données d''entrée'!$F$555,"")</f>
        <v/>
      </c>
      <c r="D533" s="142" t="str">
        <f t="shared" si="410"/>
        <v/>
      </c>
      <c r="E533" s="117" t="str">
        <f t="shared" si="411"/>
        <v/>
      </c>
      <c r="F533" s="142" t="str">
        <f>IF(D330=100%,'Données d''entrée'!$E$556,"")</f>
        <v/>
      </c>
      <c r="G533" s="142" t="str">
        <f>IF(E330=100%,'Données d''entrée'!$F$556,"")</f>
        <v/>
      </c>
      <c r="H533" s="142" t="str">
        <f t="shared" si="412"/>
        <v/>
      </c>
      <c r="I533" s="117" t="str">
        <f t="shared" si="413"/>
        <v/>
      </c>
      <c r="J533" s="142" t="str">
        <f>IF(D330=100%,'Données d''entrée'!$E$557,"")</f>
        <v/>
      </c>
      <c r="K533" s="142" t="str">
        <f>IF(E330=100%,'Données d''entrée'!$F$557,"")</f>
        <v/>
      </c>
      <c r="L533" s="142" t="str">
        <f t="shared" si="414"/>
        <v/>
      </c>
      <c r="M533" s="142" t="str">
        <f t="shared" si="415"/>
        <v/>
      </c>
      <c r="N533" s="381">
        <f t="shared" si="416"/>
        <v>0</v>
      </c>
    </row>
    <row r="534" spans="2:14" x14ac:dyDescent="0.35">
      <c r="B534" s="142" t="str">
        <f>IF(D360=100%,'Données d''entrée'!$C$555,"")</f>
        <v/>
      </c>
      <c r="C534" s="183" t="str">
        <f>IF(E331=100%,'Données d''entrée'!$F$555,"")</f>
        <v/>
      </c>
      <c r="D534" s="142" t="str">
        <f t="shared" si="410"/>
        <v/>
      </c>
      <c r="E534" s="117" t="str">
        <f t="shared" si="411"/>
        <v/>
      </c>
      <c r="F534" s="142" t="str">
        <f>IF(D331=100%,'Données d''entrée'!$E$556,"")</f>
        <v/>
      </c>
      <c r="G534" s="142" t="str">
        <f>IF(E331=100%,'Données d''entrée'!$F$556,"")</f>
        <v/>
      </c>
      <c r="H534" s="142" t="str">
        <f t="shared" si="412"/>
        <v/>
      </c>
      <c r="I534" s="117" t="str">
        <f t="shared" si="413"/>
        <v/>
      </c>
      <c r="J534" s="142" t="str">
        <f>IF(D331=100%,'Données d''entrée'!$E$557,"")</f>
        <v/>
      </c>
      <c r="K534" s="142" t="str">
        <f>IF(E331=100%,'Données d''entrée'!$F$557,"")</f>
        <v/>
      </c>
      <c r="L534" s="142" t="str">
        <f t="shared" si="414"/>
        <v/>
      </c>
      <c r="M534" s="142" t="str">
        <f t="shared" si="415"/>
        <v/>
      </c>
      <c r="N534" s="381">
        <f t="shared" si="416"/>
        <v>0</v>
      </c>
    </row>
    <row r="535" spans="2:14" x14ac:dyDescent="0.35">
      <c r="B535" s="142" t="str">
        <f>IF(D361=100%,'Données d''entrée'!$C$555,"")</f>
        <v/>
      </c>
      <c r="C535" s="183" t="str">
        <f>IF(E332=100%,'Données d''entrée'!$F$555,"")</f>
        <v/>
      </c>
      <c r="D535" s="142" t="str">
        <f t="shared" si="410"/>
        <v/>
      </c>
      <c r="E535" s="117" t="str">
        <f t="shared" si="411"/>
        <v/>
      </c>
      <c r="F535" s="142" t="str">
        <f>IF(D332=100%,'Données d''entrée'!$E$556,"")</f>
        <v/>
      </c>
      <c r="G535" s="142" t="str">
        <f>IF(E332=100%,'Données d''entrée'!$F$556,"")</f>
        <v/>
      </c>
      <c r="H535" s="142" t="str">
        <f t="shared" si="412"/>
        <v/>
      </c>
      <c r="I535" s="117" t="str">
        <f t="shared" si="413"/>
        <v/>
      </c>
      <c r="J535" s="142" t="str">
        <f>IF(D332=100%,'Données d''entrée'!$E$557,"")</f>
        <v/>
      </c>
      <c r="K535" s="142" t="str">
        <f>IF(E332=100%,'Données d''entrée'!$F$557,"")</f>
        <v/>
      </c>
      <c r="L535" s="142" t="str">
        <f t="shared" si="414"/>
        <v/>
      </c>
      <c r="M535" s="142" t="str">
        <f t="shared" si="415"/>
        <v/>
      </c>
      <c r="N535" s="381">
        <f t="shared" si="416"/>
        <v>0</v>
      </c>
    </row>
    <row r="536" spans="2:14" x14ac:dyDescent="0.35">
      <c r="B536" s="142" t="str">
        <f>IF(D362=100%,'Données d''entrée'!$C$555,"")</f>
        <v/>
      </c>
      <c r="C536" s="183" t="str">
        <f>IF(E333=100%,'Données d''entrée'!$F$555,"")</f>
        <v/>
      </c>
      <c r="D536" s="142" t="str">
        <f t="shared" si="410"/>
        <v/>
      </c>
      <c r="E536" s="117" t="str">
        <f t="shared" si="411"/>
        <v/>
      </c>
      <c r="F536" s="142" t="str">
        <f>IF(D333=100%,'Données d''entrée'!$E$556,"")</f>
        <v/>
      </c>
      <c r="G536" s="142" t="str">
        <f>IF(E333=100%,'Données d''entrée'!$F$556,"")</f>
        <v/>
      </c>
      <c r="H536" s="142" t="str">
        <f t="shared" si="412"/>
        <v/>
      </c>
      <c r="I536" s="117" t="str">
        <f t="shared" si="413"/>
        <v/>
      </c>
      <c r="J536" s="142" t="str">
        <f>IF(D333=100%,'Données d''entrée'!$E$557,"")</f>
        <v/>
      </c>
      <c r="K536" s="142" t="str">
        <f>IF(E333=100%,'Données d''entrée'!$F$557,"")</f>
        <v/>
      </c>
      <c r="L536" s="142" t="str">
        <f t="shared" si="414"/>
        <v/>
      </c>
      <c r="M536" s="142" t="str">
        <f t="shared" si="415"/>
        <v/>
      </c>
      <c r="N536" s="381">
        <f t="shared" si="416"/>
        <v>0</v>
      </c>
    </row>
    <row r="537" spans="2:14" x14ac:dyDescent="0.35">
      <c r="B537" s="142" t="str">
        <f>IF(D363=100%,'Données d''entrée'!$C$555,"")</f>
        <v/>
      </c>
      <c r="C537" s="183" t="str">
        <f>IF(E334=100%,'Données d''entrée'!$F$555,"")</f>
        <v/>
      </c>
      <c r="D537" s="142" t="str">
        <f t="shared" si="410"/>
        <v/>
      </c>
      <c r="E537" s="117" t="str">
        <f t="shared" si="411"/>
        <v/>
      </c>
      <c r="F537" s="142" t="str">
        <f>IF(D334=100%,'Données d''entrée'!$E$556,"")</f>
        <v/>
      </c>
      <c r="G537" s="142" t="str">
        <f>IF(E334=100%,'Données d''entrée'!$F$556,"")</f>
        <v/>
      </c>
      <c r="H537" s="142" t="str">
        <f t="shared" si="412"/>
        <v/>
      </c>
      <c r="I537" s="117" t="str">
        <f t="shared" si="413"/>
        <v/>
      </c>
      <c r="J537" s="142" t="str">
        <f>IF(D334=100%,'Données d''entrée'!$E$557,"")</f>
        <v/>
      </c>
      <c r="K537" s="142" t="str">
        <f>IF(E334=100%,'Données d''entrée'!$F$557,"")</f>
        <v/>
      </c>
      <c r="L537" s="142" t="str">
        <f t="shared" si="414"/>
        <v/>
      </c>
      <c r="M537" s="142" t="str">
        <f t="shared" si="415"/>
        <v/>
      </c>
      <c r="N537" s="381">
        <f t="shared" si="416"/>
        <v>0</v>
      </c>
    </row>
    <row r="538" spans="2:14" x14ac:dyDescent="0.35">
      <c r="B538" s="142" t="str">
        <f>IF(D364=100%,'Données d''entrée'!$C$555,"")</f>
        <v/>
      </c>
      <c r="C538" s="183" t="str">
        <f>IF(E335=100%,'Données d''entrée'!$F$555,"")</f>
        <v/>
      </c>
      <c r="D538" s="142" t="str">
        <f t="shared" si="410"/>
        <v/>
      </c>
      <c r="E538" s="117" t="str">
        <f t="shared" si="411"/>
        <v/>
      </c>
      <c r="F538" s="142" t="str">
        <f>IF(D335=100%,'Données d''entrée'!$E$556,"")</f>
        <v/>
      </c>
      <c r="G538" s="142" t="str">
        <f>IF(E335=100%,'Données d''entrée'!$F$556,"")</f>
        <v/>
      </c>
      <c r="H538" s="142" t="str">
        <f t="shared" si="412"/>
        <v/>
      </c>
      <c r="I538" s="117" t="str">
        <f t="shared" si="413"/>
        <v/>
      </c>
      <c r="J538" s="142" t="str">
        <f>IF(D335=100%,'Données d''entrée'!$E$557,"")</f>
        <v/>
      </c>
      <c r="K538" s="142" t="str">
        <f>IF(E335=100%,'Données d''entrée'!$F$557,"")</f>
        <v/>
      </c>
      <c r="L538" s="142" t="str">
        <f t="shared" si="414"/>
        <v/>
      </c>
      <c r="M538" s="142" t="str">
        <f t="shared" si="415"/>
        <v/>
      </c>
      <c r="N538" s="381">
        <f t="shared" si="416"/>
        <v>0</v>
      </c>
    </row>
    <row r="539" spans="2:14" x14ac:dyDescent="0.35">
      <c r="B539" s="142" t="str">
        <f>IF(D365=100%,'Données d''entrée'!$C$555,"")</f>
        <v/>
      </c>
      <c r="C539" s="183" t="str">
        <f>IF(E336=100%,'Données d''entrée'!$F$555,"")</f>
        <v/>
      </c>
      <c r="D539" s="142" t="str">
        <f t="shared" si="410"/>
        <v/>
      </c>
      <c r="E539" s="117" t="str">
        <f t="shared" si="411"/>
        <v/>
      </c>
      <c r="F539" s="142" t="str">
        <f>IF(D336=100%,'Données d''entrée'!$E$556,"")</f>
        <v/>
      </c>
      <c r="G539" s="142" t="str">
        <f>IF(E336=100%,'Données d''entrée'!$F$556,"")</f>
        <v/>
      </c>
      <c r="H539" s="142" t="str">
        <f t="shared" si="412"/>
        <v/>
      </c>
      <c r="I539" s="117" t="str">
        <f t="shared" si="413"/>
        <v/>
      </c>
      <c r="J539" s="142" t="str">
        <f>IF(D336=100%,'Données d''entrée'!$E$557,"")</f>
        <v/>
      </c>
      <c r="K539" s="142" t="str">
        <f>IF(E336=100%,'Données d''entrée'!$F$557,"")</f>
        <v/>
      </c>
      <c r="L539" s="142" t="str">
        <f t="shared" si="414"/>
        <v/>
      </c>
      <c r="M539" s="142" t="str">
        <f t="shared" si="415"/>
        <v/>
      </c>
      <c r="N539" s="381">
        <f t="shared" si="416"/>
        <v>0</v>
      </c>
    </row>
    <row r="540" spans="2:14" x14ac:dyDescent="0.35">
      <c r="B540" s="142" t="str">
        <f>IF(D366=100%,'Données d''entrée'!$C$555,"")</f>
        <v/>
      </c>
      <c r="C540" s="183" t="str">
        <f>IF(E337=100%,'Données d''entrée'!$F$555,"")</f>
        <v/>
      </c>
      <c r="D540" s="142" t="str">
        <f t="shared" si="410"/>
        <v/>
      </c>
      <c r="E540" s="117" t="str">
        <f t="shared" si="411"/>
        <v/>
      </c>
      <c r="F540" s="142" t="str">
        <f>IF(D337=100%,'Données d''entrée'!$E$556,"")</f>
        <v/>
      </c>
      <c r="G540" s="142" t="str">
        <f>IF(E337=100%,'Données d''entrée'!$F$556,"")</f>
        <v/>
      </c>
      <c r="H540" s="142" t="str">
        <f t="shared" si="412"/>
        <v/>
      </c>
      <c r="I540" s="117" t="str">
        <f t="shared" si="413"/>
        <v/>
      </c>
      <c r="J540" s="142" t="str">
        <f>IF(D337=100%,'Données d''entrée'!$E$557,"")</f>
        <v/>
      </c>
      <c r="K540" s="142" t="str">
        <f>IF(E337=100%,'Données d''entrée'!$F$557,"")</f>
        <v/>
      </c>
      <c r="L540" s="142" t="str">
        <f t="shared" si="414"/>
        <v/>
      </c>
      <c r="M540" s="142" t="str">
        <f t="shared" si="415"/>
        <v/>
      </c>
      <c r="N540" s="381">
        <f t="shared" si="416"/>
        <v>0</v>
      </c>
    </row>
    <row r="541" spans="2:14" x14ac:dyDescent="0.35">
      <c r="B541" s="142" t="str">
        <f>IF(D367=100%,'Données d''entrée'!$C$555,"")</f>
        <v/>
      </c>
      <c r="C541" s="183" t="str">
        <f>IF(E338=100%,'Données d''entrée'!$F$555,"")</f>
        <v/>
      </c>
      <c r="D541" s="142" t="str">
        <f t="shared" si="410"/>
        <v/>
      </c>
      <c r="E541" s="117" t="str">
        <f t="shared" si="411"/>
        <v/>
      </c>
      <c r="F541" s="142" t="str">
        <f>IF(D338=100%,'Données d''entrée'!$E$556,"")</f>
        <v/>
      </c>
      <c r="G541" s="142" t="str">
        <f>IF(E338=100%,'Données d''entrée'!$F$556,"")</f>
        <v/>
      </c>
      <c r="H541" s="142" t="str">
        <f t="shared" si="412"/>
        <v/>
      </c>
      <c r="I541" s="117" t="str">
        <f t="shared" si="413"/>
        <v/>
      </c>
      <c r="J541" s="142" t="str">
        <f>IF(D338=100%,'Données d''entrée'!$E$557,"")</f>
        <v/>
      </c>
      <c r="K541" s="142" t="str">
        <f>IF(E338=100%,'Données d''entrée'!$F$557,"")</f>
        <v/>
      </c>
      <c r="L541" s="142" t="str">
        <f t="shared" si="414"/>
        <v/>
      </c>
      <c r="M541" s="142" t="str">
        <f t="shared" si="415"/>
        <v/>
      </c>
      <c r="N541" s="381">
        <f t="shared" si="416"/>
        <v>0</v>
      </c>
    </row>
    <row r="542" spans="2:14" x14ac:dyDescent="0.35">
      <c r="B542" s="142" t="str">
        <f>IF(D368=100%,'Données d''entrée'!$C$555,"")</f>
        <v/>
      </c>
      <c r="C542" s="183" t="str">
        <f>IF(E339=100%,'Données d''entrée'!$F$555,"")</f>
        <v/>
      </c>
      <c r="D542" s="142" t="str">
        <f t="shared" si="410"/>
        <v/>
      </c>
      <c r="E542" s="117" t="str">
        <f t="shared" si="411"/>
        <v/>
      </c>
      <c r="F542" s="142" t="str">
        <f>IF(D339=100%,'Données d''entrée'!$E$556,"")</f>
        <v/>
      </c>
      <c r="G542" s="142" t="str">
        <f>IF(E339=100%,'Données d''entrée'!$F$556,"")</f>
        <v/>
      </c>
      <c r="H542" s="142" t="str">
        <f t="shared" si="412"/>
        <v/>
      </c>
      <c r="I542" s="117" t="str">
        <f t="shared" si="413"/>
        <v/>
      </c>
      <c r="J542" s="142" t="str">
        <f>IF(D339=100%,'Données d''entrée'!$E$557,"")</f>
        <v/>
      </c>
      <c r="K542" s="142" t="str">
        <f>IF(E339=100%,'Données d''entrée'!$F$557,"")</f>
        <v/>
      </c>
      <c r="L542" s="142" t="str">
        <f t="shared" si="414"/>
        <v/>
      </c>
      <c r="M542" s="142" t="str">
        <f t="shared" si="415"/>
        <v/>
      </c>
      <c r="N542" s="381">
        <f t="shared" si="416"/>
        <v>0</v>
      </c>
    </row>
    <row r="543" spans="2:14" x14ac:dyDescent="0.35">
      <c r="B543" s="142" t="str">
        <f>IF(D369=100%,'Données d''entrée'!$C$555,"")</f>
        <v/>
      </c>
      <c r="C543" s="183" t="str">
        <f>IF(E340=100%,'Données d''entrée'!$F$555,"")</f>
        <v/>
      </c>
      <c r="D543" s="142" t="str">
        <f t="shared" si="410"/>
        <v/>
      </c>
      <c r="E543" s="117" t="str">
        <f t="shared" si="411"/>
        <v/>
      </c>
      <c r="F543" s="142" t="str">
        <f>IF(D340=100%,'Données d''entrée'!$E$556,"")</f>
        <v/>
      </c>
      <c r="G543" s="142" t="str">
        <f>IF(E340=100%,'Données d''entrée'!$F$556,"")</f>
        <v/>
      </c>
      <c r="H543" s="142" t="str">
        <f t="shared" si="412"/>
        <v/>
      </c>
      <c r="I543" s="117" t="str">
        <f t="shared" si="413"/>
        <v/>
      </c>
      <c r="J543" s="142" t="str">
        <f>IF(D340=100%,'Données d''entrée'!$E$557,"")</f>
        <v/>
      </c>
      <c r="K543" s="142" t="str">
        <f>IF(E340=100%,'Données d''entrée'!$F$557,"")</f>
        <v/>
      </c>
      <c r="L543" s="142" t="str">
        <f t="shared" si="414"/>
        <v/>
      </c>
      <c r="M543" s="142" t="str">
        <f t="shared" si="415"/>
        <v/>
      </c>
      <c r="N543" s="381">
        <f t="shared" si="416"/>
        <v>0</v>
      </c>
    </row>
    <row r="544" spans="2:14" x14ac:dyDescent="0.35">
      <c r="B544" s="142" t="str">
        <f>IF(D370=100%,'Données d''entrée'!$C$555,"")</f>
        <v/>
      </c>
      <c r="C544" s="183" t="str">
        <f>IF(E341=100%,'Données d''entrée'!$F$555,"")</f>
        <v/>
      </c>
      <c r="D544" s="142" t="str">
        <f t="shared" si="410"/>
        <v/>
      </c>
      <c r="E544" s="117" t="str">
        <f t="shared" si="411"/>
        <v/>
      </c>
      <c r="F544" s="142" t="str">
        <f>IF(D341=100%,'Données d''entrée'!$E$556,"")</f>
        <v/>
      </c>
      <c r="G544" s="142" t="str">
        <f>IF(E341=100%,'Données d''entrée'!$F$556,"")</f>
        <v/>
      </c>
      <c r="H544" s="142" t="str">
        <f t="shared" si="412"/>
        <v/>
      </c>
      <c r="I544" s="117" t="str">
        <f t="shared" si="413"/>
        <v/>
      </c>
      <c r="J544" s="142" t="str">
        <f>IF(D341=100%,'Données d''entrée'!$E$557,"")</f>
        <v/>
      </c>
      <c r="K544" s="142" t="str">
        <f>IF(E341=100%,'Données d''entrée'!$F$557,"")</f>
        <v/>
      </c>
      <c r="L544" s="142" t="str">
        <f t="shared" si="414"/>
        <v/>
      </c>
      <c r="M544" s="142" t="str">
        <f t="shared" si="415"/>
        <v/>
      </c>
      <c r="N544" s="381">
        <f t="shared" si="416"/>
        <v>0</v>
      </c>
    </row>
    <row r="545" spans="2:14" x14ac:dyDescent="0.35">
      <c r="B545" s="142" t="str">
        <f>IF(D371=100%,'Données d''entrée'!$C$555,"")</f>
        <v/>
      </c>
      <c r="C545" s="183" t="str">
        <f>IF(E342=100%,'Données d''entrée'!$F$555,"")</f>
        <v/>
      </c>
      <c r="D545" s="142" t="str">
        <f t="shared" si="410"/>
        <v/>
      </c>
      <c r="E545" s="117" t="str">
        <f t="shared" si="411"/>
        <v/>
      </c>
      <c r="F545" s="142" t="str">
        <f>IF(D342=100%,'Données d''entrée'!$E$556,"")</f>
        <v/>
      </c>
      <c r="G545" s="142" t="str">
        <f>IF(E342=100%,'Données d''entrée'!$F$556,"")</f>
        <v/>
      </c>
      <c r="H545" s="142" t="str">
        <f t="shared" si="412"/>
        <v/>
      </c>
      <c r="I545" s="117" t="str">
        <f t="shared" si="413"/>
        <v/>
      </c>
      <c r="J545" s="142" t="str">
        <f>IF(D342=100%,'Données d''entrée'!$E$557,"")</f>
        <v/>
      </c>
      <c r="K545" s="142" t="str">
        <f>IF(E342=100%,'Données d''entrée'!$F$557,"")</f>
        <v/>
      </c>
      <c r="L545" s="142" t="str">
        <f t="shared" si="414"/>
        <v/>
      </c>
      <c r="M545" s="142" t="str">
        <f t="shared" si="415"/>
        <v/>
      </c>
      <c r="N545" s="381">
        <f t="shared" si="416"/>
        <v>0</v>
      </c>
    </row>
    <row r="546" spans="2:14" x14ac:dyDescent="0.35">
      <c r="B546" s="142" t="str">
        <f>IF(D372=100%,'Données d''entrée'!$C$555,"")</f>
        <v/>
      </c>
      <c r="C546" s="183" t="str">
        <f>IF(E343=100%,'Données d''entrée'!$F$555,"")</f>
        <v/>
      </c>
      <c r="D546" s="142" t="str">
        <f t="shared" si="410"/>
        <v/>
      </c>
      <c r="E546" s="117" t="str">
        <f t="shared" si="411"/>
        <v/>
      </c>
      <c r="F546" s="142" t="str">
        <f>IF(D343=100%,'Données d''entrée'!$E$556,"")</f>
        <v/>
      </c>
      <c r="G546" s="142" t="str">
        <f>IF(E343=100%,'Données d''entrée'!$F$556,"")</f>
        <v/>
      </c>
      <c r="H546" s="142" t="str">
        <f t="shared" si="412"/>
        <v/>
      </c>
      <c r="I546" s="117" t="str">
        <f t="shared" si="413"/>
        <v/>
      </c>
      <c r="J546" s="142" t="str">
        <f>IF(D343=100%,'Données d''entrée'!$E$557,"")</f>
        <v/>
      </c>
      <c r="K546" s="142" t="str">
        <f>IF(E343=100%,'Données d''entrée'!$F$557,"")</f>
        <v/>
      </c>
      <c r="L546" s="142" t="str">
        <f t="shared" si="414"/>
        <v/>
      </c>
      <c r="M546" s="142" t="str">
        <f t="shared" si="415"/>
        <v/>
      </c>
      <c r="N546" s="381">
        <f t="shared" si="416"/>
        <v>0</v>
      </c>
    </row>
    <row r="548" spans="2:14" ht="26" x14ac:dyDescent="0.6">
      <c r="B548" s="376" t="s">
        <v>254</v>
      </c>
      <c r="C548" s="148">
        <f>SUM(N527:N546)</f>
        <v>0</v>
      </c>
      <c r="D548" s="149" t="s">
        <v>255</v>
      </c>
    </row>
    <row r="551" spans="2:14" x14ac:dyDescent="0.35">
      <c r="B551" s="522" t="s">
        <v>524</v>
      </c>
      <c r="C551" s="523"/>
      <c r="D551" s="523"/>
      <c r="E551" s="524"/>
      <c r="F551" s="522" t="s">
        <v>525</v>
      </c>
      <c r="G551" s="523"/>
      <c r="H551" s="523"/>
      <c r="I551" s="524"/>
      <c r="J551" s="522" t="s">
        <v>205</v>
      </c>
      <c r="K551" s="523"/>
      <c r="L551" s="523"/>
      <c r="M551" s="524"/>
      <c r="N551" s="559" t="s">
        <v>19</v>
      </c>
    </row>
    <row r="552" spans="2:14" ht="29" x14ac:dyDescent="0.35">
      <c r="B552" s="112" t="s">
        <v>277</v>
      </c>
      <c r="C552" s="112" t="s">
        <v>278</v>
      </c>
      <c r="D552" s="112" t="s">
        <v>279</v>
      </c>
      <c r="E552" s="112" t="s">
        <v>280</v>
      </c>
      <c r="F552" s="112" t="s">
        <v>277</v>
      </c>
      <c r="G552" s="112" t="s">
        <v>278</v>
      </c>
      <c r="H552" s="112" t="s">
        <v>279</v>
      </c>
      <c r="I552" s="112" t="s">
        <v>280</v>
      </c>
      <c r="J552" s="112" t="s">
        <v>277</v>
      </c>
      <c r="K552" s="112" t="s">
        <v>278</v>
      </c>
      <c r="L552" s="112" t="s">
        <v>279</v>
      </c>
      <c r="M552" s="112" t="s">
        <v>280</v>
      </c>
      <c r="N552" s="560"/>
    </row>
    <row r="553" spans="2:14" x14ac:dyDescent="0.35">
      <c r="B553" s="142" t="str">
        <f>IF(D353=100%,'Données d''entrée'!$C$555,"")</f>
        <v/>
      </c>
      <c r="C553" s="183" t="str">
        <f>IF(E353=100%,'Données d''entrée'!$D$555,"")</f>
        <v/>
      </c>
      <c r="D553" s="142" t="str">
        <f>IF(ISERROR(C$22*(1-C$23%/2)*C48*B553),"",C$22*(1-C$23%/2)*C48*B553)</f>
        <v/>
      </c>
      <c r="E553" s="185" t="str">
        <f>IF(ISERROR(C$22*(1-C$23%/2)*C48*C553),"",C$22*(1-C$23%/2)*C48*C553)</f>
        <v/>
      </c>
      <c r="F553" s="142" t="str">
        <f>IF(D353=100%,'Données d''entrée'!$C$556,"")</f>
        <v/>
      </c>
      <c r="G553" s="142" t="str">
        <f>IF(E353=100%,'Données d''entrée'!$D$556,"")</f>
        <v/>
      </c>
      <c r="H553" s="142" t="str">
        <f>IF(ISERROR((D$22*(1-D$23%/2)*D48+E$22*(1-E$23%/2)*E48)*F553),"",(D$22*(1-D$23%/2)*D48+E$22*(1-E$23%/2)*E48)*F553)</f>
        <v/>
      </c>
      <c r="I553" s="117" t="str">
        <f>IF(ISERROR((D$22*(1-D$23%/2)*D48+E$22*(1-E$23%/2)*E48)*G553),"",(D$22*(1-D$23%/2)*D48+E$22*(1-E$23%/2)*E48)*G553)</f>
        <v/>
      </c>
      <c r="J553" s="142" t="str">
        <f>IF(D353=100%,'Données d''entrée'!$C$557,"")</f>
        <v/>
      </c>
      <c r="K553" s="142" t="str">
        <f>IF(E353=100%,'Données d''entrée'!$D$557,"")</f>
        <v/>
      </c>
      <c r="L553" s="142" t="str">
        <f>IF(ISERROR((F$22*(1-F$23%/2)*F48+G$22*(1-G$23%/2)*G48+H$22*(1-H$23%/2)*H48+I$22*(1-I$23%/2)*I48)*J553),"",(F$22*(1-F$23%/2)*F48+G$22*(1-G$23%/2)*G48+H$22*(1-H$23%/2)*H48+I$22*(1-I$23%/2)*I48)*J553)</f>
        <v/>
      </c>
      <c r="M553" s="142" t="str">
        <f>IF(ISERROR((F$22*(1-F$23%/2)*F48+G$22*(1-G$23%/2)*G48+H$22*(1-H$23%/2)*H48+I$22*(1-I$23%/2)*I48)*K553),"",(F$22*(1-F$23%/2)*F48+G$22*(1-G$23%/2)*G48+H$22*(1-H$23%/2)*H48+I$22*(1-I$23%/2)*I48)*K553)</f>
        <v/>
      </c>
      <c r="N553" s="381">
        <f>SUM(D553,E553,H553,I553,L553,M553)</f>
        <v>0</v>
      </c>
    </row>
    <row r="554" spans="2:14" x14ac:dyDescent="0.35">
      <c r="B554" s="142" t="str">
        <f>IF(D354=100%,'Données d''entrée'!$C$555,"")</f>
        <v/>
      </c>
      <c r="C554" s="183" t="str">
        <f>IF(E354=100%,'Données d''entrée'!$D$555,"")</f>
        <v/>
      </c>
      <c r="D554" s="142" t="str">
        <f t="shared" ref="D554:D572" si="417">IF(ISERROR(C$22*(1-C$23%/2)*C49*B554),"",C$22*(1-C$23%/2)*C49*B554)</f>
        <v/>
      </c>
      <c r="E554" s="185" t="str">
        <f t="shared" ref="E554:E572" si="418">IF(ISERROR(C$22*(1-C$23%/2)*C49*C554),"",C$22*(1-C$23%/2)*C49*C554)</f>
        <v/>
      </c>
      <c r="F554" s="142" t="str">
        <f>IF(D354=100%,'Données d''entrée'!$C$556,"")</f>
        <v/>
      </c>
      <c r="G554" s="142" t="str">
        <f>IF(E354=100%,'Données d''entrée'!$D$556,"")</f>
        <v/>
      </c>
      <c r="H554" s="142" t="str">
        <f t="shared" ref="H554:H572" si="419">IF(ISERROR((D$22*(1-D$23%/2)*D49+E$22*(1-E$23%/2)*E49)*F554),"",(D$22*(1-D$23%/2)*D49+E$22*(1-E$23%/2)*E49)*F554)</f>
        <v/>
      </c>
      <c r="I554" s="117" t="str">
        <f t="shared" ref="I554:I572" si="420">IF(ISERROR((D$22*(1-D$23%/2)*D49+E$22*(1-E$23%/2)*E49)*G554),"",(D$22*(1-D$23%/2)*D49+E$22*(1-E$23%/2)*E49)*G554)</f>
        <v/>
      </c>
      <c r="J554" s="142" t="str">
        <f>IF(D354=100%,'Données d''entrée'!$C$557,"")</f>
        <v/>
      </c>
      <c r="K554" s="142" t="str">
        <f>IF(E354=100%,'Données d''entrée'!$D$557,"")</f>
        <v/>
      </c>
      <c r="L554" s="142" t="str">
        <f t="shared" ref="L554:L572" si="421">IF(ISERROR((F$22*(1-F$23%/2)*F49+G$22*(1-G$23%/2)*G49+H$22*(1-H$23%/2)*H49+I$22*(1-I$23%/2)*I49)*J554),"",(F$22*(1-F$23%/2)*F49+G$22*(1-G$23%/2)*G49+H$22*(1-H$23%/2)*H49+I$22*(1-I$23%/2)*I49)*J554)</f>
        <v/>
      </c>
      <c r="M554" s="142" t="str">
        <f t="shared" ref="M554:M572" si="422">IF(ISERROR((F$22*(1-F$23%/2)*F49+G$22*(1-G$23%/2)*G49+H$22*(1-H$23%/2)*H49+I$22*(1-I$23%/2)*I49)*K554),"",(F$22*(1-F$23%/2)*F49+G$22*(1-G$23%/2)*G49+H$22*(1-H$23%/2)*H49+I$22*(1-I$23%/2)*I49)*K554)</f>
        <v/>
      </c>
      <c r="N554" s="381">
        <f t="shared" ref="N554:N572" si="423">SUM(D554,E554,H554,I554,L554,M554)</f>
        <v>0</v>
      </c>
    </row>
    <row r="555" spans="2:14" x14ac:dyDescent="0.35">
      <c r="B555" s="142" t="str">
        <f>IF(D355=100%,'Données d''entrée'!$C$555,"")</f>
        <v/>
      </c>
      <c r="C555" s="183" t="str">
        <f>IF(E355=100%,'Données d''entrée'!$D$555,"")</f>
        <v/>
      </c>
      <c r="D555" s="142" t="str">
        <f t="shared" si="417"/>
        <v/>
      </c>
      <c r="E555" s="185" t="str">
        <f t="shared" si="418"/>
        <v/>
      </c>
      <c r="F555" s="142" t="str">
        <f>IF(D355=100%,'Données d''entrée'!$C$556,"")</f>
        <v/>
      </c>
      <c r="G555" s="142" t="str">
        <f>IF(E355=100%,'Données d''entrée'!$D$556,"")</f>
        <v/>
      </c>
      <c r="H555" s="142" t="str">
        <f t="shared" si="419"/>
        <v/>
      </c>
      <c r="I555" s="117" t="str">
        <f t="shared" si="420"/>
        <v/>
      </c>
      <c r="J555" s="142" t="str">
        <f>IF(D355=100%,'Données d''entrée'!$C$557,"")</f>
        <v/>
      </c>
      <c r="K555" s="142" t="str">
        <f>IF(E355=100%,'Données d''entrée'!$D$557,"")</f>
        <v/>
      </c>
      <c r="L555" s="142" t="str">
        <f t="shared" si="421"/>
        <v/>
      </c>
      <c r="M555" s="142" t="str">
        <f t="shared" si="422"/>
        <v/>
      </c>
      <c r="N555" s="381">
        <f t="shared" si="423"/>
        <v>0</v>
      </c>
    </row>
    <row r="556" spans="2:14" x14ac:dyDescent="0.35">
      <c r="B556" s="142" t="str">
        <f>IF(D356=100%,'Données d''entrée'!$C$555,"")</f>
        <v/>
      </c>
      <c r="C556" s="183" t="str">
        <f>IF(E356=100%,'Données d''entrée'!$D$555,"")</f>
        <v/>
      </c>
      <c r="D556" s="142" t="str">
        <f t="shared" si="417"/>
        <v/>
      </c>
      <c r="E556" s="185" t="str">
        <f t="shared" si="418"/>
        <v/>
      </c>
      <c r="F556" s="142" t="str">
        <f>IF(D356=100%,'Données d''entrée'!$C$556,"")</f>
        <v/>
      </c>
      <c r="G556" s="142" t="str">
        <f>IF(E356=100%,'Données d''entrée'!$D$556,"")</f>
        <v/>
      </c>
      <c r="H556" s="142" t="str">
        <f t="shared" si="419"/>
        <v/>
      </c>
      <c r="I556" s="117" t="str">
        <f t="shared" si="420"/>
        <v/>
      </c>
      <c r="J556" s="142" t="str">
        <f>IF(D356=100%,'Données d''entrée'!$C$557,"")</f>
        <v/>
      </c>
      <c r="K556" s="142" t="str">
        <f>IF(E356=100%,'Données d''entrée'!$D$557,"")</f>
        <v/>
      </c>
      <c r="L556" s="142" t="str">
        <f t="shared" si="421"/>
        <v/>
      </c>
      <c r="M556" s="142" t="str">
        <f t="shared" si="422"/>
        <v/>
      </c>
      <c r="N556" s="381">
        <f t="shared" si="423"/>
        <v>0</v>
      </c>
    </row>
    <row r="557" spans="2:14" x14ac:dyDescent="0.35">
      <c r="B557" s="142" t="str">
        <f>IF(D357=100%,'Données d''entrée'!$C$555,"")</f>
        <v/>
      </c>
      <c r="C557" s="183" t="str">
        <f>IF(E357=100%,'Données d''entrée'!$D$555,"")</f>
        <v/>
      </c>
      <c r="D557" s="142" t="str">
        <f t="shared" si="417"/>
        <v/>
      </c>
      <c r="E557" s="185" t="str">
        <f t="shared" si="418"/>
        <v/>
      </c>
      <c r="F557" s="142" t="str">
        <f>IF(D357=100%,'Données d''entrée'!$C$556,"")</f>
        <v/>
      </c>
      <c r="G557" s="142" t="str">
        <f>IF(E357=100%,'Données d''entrée'!$D$556,"")</f>
        <v/>
      </c>
      <c r="H557" s="142" t="str">
        <f t="shared" si="419"/>
        <v/>
      </c>
      <c r="I557" s="117" t="str">
        <f t="shared" si="420"/>
        <v/>
      </c>
      <c r="J557" s="142" t="str">
        <f>IF(D357=100%,'Données d''entrée'!$C$557,"")</f>
        <v/>
      </c>
      <c r="K557" s="142" t="str">
        <f>IF(E357=100%,'Données d''entrée'!$D$557,"")</f>
        <v/>
      </c>
      <c r="L557" s="142" t="str">
        <f t="shared" si="421"/>
        <v/>
      </c>
      <c r="M557" s="142" t="str">
        <f t="shared" si="422"/>
        <v/>
      </c>
      <c r="N557" s="381">
        <f t="shared" si="423"/>
        <v>0</v>
      </c>
    </row>
    <row r="558" spans="2:14" x14ac:dyDescent="0.35">
      <c r="B558" s="142" t="str">
        <f>IF(D358=100%,'Données d''entrée'!$C$555,"")</f>
        <v/>
      </c>
      <c r="C558" s="183" t="str">
        <f>IF(E358=100%,'Données d''entrée'!$D$555,"")</f>
        <v/>
      </c>
      <c r="D558" s="142" t="str">
        <f t="shared" si="417"/>
        <v/>
      </c>
      <c r="E558" s="185" t="str">
        <f t="shared" si="418"/>
        <v/>
      </c>
      <c r="F558" s="142" t="str">
        <f>IF(D358=100%,'Données d''entrée'!$C$556,"")</f>
        <v/>
      </c>
      <c r="G558" s="142" t="str">
        <f>IF(E358=100%,'Données d''entrée'!$D$556,"")</f>
        <v/>
      </c>
      <c r="H558" s="142" t="str">
        <f t="shared" si="419"/>
        <v/>
      </c>
      <c r="I558" s="117" t="str">
        <f t="shared" si="420"/>
        <v/>
      </c>
      <c r="J558" s="142" t="str">
        <f>IF(D358=100%,'Données d''entrée'!$C$557,"")</f>
        <v/>
      </c>
      <c r="K558" s="142" t="str">
        <f>IF(E358=100%,'Données d''entrée'!$D$557,"")</f>
        <v/>
      </c>
      <c r="L558" s="142" t="str">
        <f t="shared" si="421"/>
        <v/>
      </c>
      <c r="M558" s="142" t="str">
        <f t="shared" si="422"/>
        <v/>
      </c>
      <c r="N558" s="381">
        <f t="shared" si="423"/>
        <v>0</v>
      </c>
    </row>
    <row r="559" spans="2:14" x14ac:dyDescent="0.35">
      <c r="B559" s="142" t="str">
        <f>IF(D359=100%,'Données d''entrée'!$C$555,"")</f>
        <v/>
      </c>
      <c r="C559" s="183" t="str">
        <f>IF(E359=100%,'Données d''entrée'!$D$555,"")</f>
        <v/>
      </c>
      <c r="D559" s="142" t="str">
        <f t="shared" si="417"/>
        <v/>
      </c>
      <c r="E559" s="185" t="str">
        <f t="shared" si="418"/>
        <v/>
      </c>
      <c r="F559" s="142" t="str">
        <f>IF(D359=100%,'Données d''entrée'!$C$556,"")</f>
        <v/>
      </c>
      <c r="G559" s="142" t="str">
        <f>IF(E359=100%,'Données d''entrée'!$D$556,"")</f>
        <v/>
      </c>
      <c r="H559" s="142" t="str">
        <f t="shared" si="419"/>
        <v/>
      </c>
      <c r="I559" s="117" t="str">
        <f t="shared" si="420"/>
        <v/>
      </c>
      <c r="J559" s="142" t="str">
        <f>IF(D359=100%,'Données d''entrée'!$C$557,"")</f>
        <v/>
      </c>
      <c r="K559" s="142" t="str">
        <f>IF(E359=100%,'Données d''entrée'!$D$557,"")</f>
        <v/>
      </c>
      <c r="L559" s="142" t="str">
        <f t="shared" si="421"/>
        <v/>
      </c>
      <c r="M559" s="142" t="str">
        <f t="shared" si="422"/>
        <v/>
      </c>
      <c r="N559" s="381">
        <f t="shared" si="423"/>
        <v>0</v>
      </c>
    </row>
    <row r="560" spans="2:14" x14ac:dyDescent="0.35">
      <c r="B560" s="142" t="str">
        <f>IF(D360=100%,'Données d''entrée'!$C$555,"")</f>
        <v/>
      </c>
      <c r="C560" s="183" t="str">
        <f>IF(E360=100%,'Données d''entrée'!$D$555,"")</f>
        <v/>
      </c>
      <c r="D560" s="142" t="str">
        <f t="shared" si="417"/>
        <v/>
      </c>
      <c r="E560" s="185" t="str">
        <f t="shared" si="418"/>
        <v/>
      </c>
      <c r="F560" s="142" t="str">
        <f>IF(D360=100%,'Données d''entrée'!$C$556,"")</f>
        <v/>
      </c>
      <c r="G560" s="142" t="str">
        <f>IF(E360=100%,'Données d''entrée'!$D$556,"")</f>
        <v/>
      </c>
      <c r="H560" s="142" t="str">
        <f t="shared" si="419"/>
        <v/>
      </c>
      <c r="I560" s="117" t="str">
        <f t="shared" si="420"/>
        <v/>
      </c>
      <c r="J560" s="142" t="str">
        <f>IF(D360=100%,'Données d''entrée'!$C$557,"")</f>
        <v/>
      </c>
      <c r="K560" s="142" t="str">
        <f>IF(E360=100%,'Données d''entrée'!$D$557,"")</f>
        <v/>
      </c>
      <c r="L560" s="142" t="str">
        <f t="shared" si="421"/>
        <v/>
      </c>
      <c r="M560" s="142" t="str">
        <f t="shared" si="422"/>
        <v/>
      </c>
      <c r="N560" s="381">
        <f t="shared" si="423"/>
        <v>0</v>
      </c>
    </row>
    <row r="561" spans="2:14" x14ac:dyDescent="0.35">
      <c r="B561" s="142" t="str">
        <f>IF(D361=100%,'Données d''entrée'!$C$555,"")</f>
        <v/>
      </c>
      <c r="C561" s="183" t="str">
        <f>IF(E361=100%,'Données d''entrée'!$D$555,"")</f>
        <v/>
      </c>
      <c r="D561" s="142" t="str">
        <f t="shared" si="417"/>
        <v/>
      </c>
      <c r="E561" s="185" t="str">
        <f t="shared" si="418"/>
        <v/>
      </c>
      <c r="F561" s="142" t="str">
        <f>IF(D361=100%,'Données d''entrée'!$C$556,"")</f>
        <v/>
      </c>
      <c r="G561" s="142" t="str">
        <f>IF(E361=100%,'Données d''entrée'!$D$556,"")</f>
        <v/>
      </c>
      <c r="H561" s="142" t="str">
        <f t="shared" si="419"/>
        <v/>
      </c>
      <c r="I561" s="117" t="str">
        <f t="shared" si="420"/>
        <v/>
      </c>
      <c r="J561" s="142" t="str">
        <f>IF(D361=100%,'Données d''entrée'!$C$557,"")</f>
        <v/>
      </c>
      <c r="K561" s="142" t="str">
        <f>IF(E361=100%,'Données d''entrée'!$D$557,"")</f>
        <v/>
      </c>
      <c r="L561" s="142" t="str">
        <f t="shared" si="421"/>
        <v/>
      </c>
      <c r="M561" s="142" t="str">
        <f t="shared" si="422"/>
        <v/>
      </c>
      <c r="N561" s="381">
        <f t="shared" si="423"/>
        <v>0</v>
      </c>
    </row>
    <row r="562" spans="2:14" x14ac:dyDescent="0.35">
      <c r="B562" s="142" t="str">
        <f>IF(D362=100%,'Données d''entrée'!$C$555,"")</f>
        <v/>
      </c>
      <c r="C562" s="183" t="str">
        <f>IF(E362=100%,'Données d''entrée'!$D$555,"")</f>
        <v/>
      </c>
      <c r="D562" s="142" t="str">
        <f t="shared" si="417"/>
        <v/>
      </c>
      <c r="E562" s="185" t="str">
        <f t="shared" si="418"/>
        <v/>
      </c>
      <c r="F562" s="142" t="str">
        <f>IF(D362=100%,'Données d''entrée'!$C$556,"")</f>
        <v/>
      </c>
      <c r="G562" s="142" t="str">
        <f>IF(E362=100%,'Données d''entrée'!$D$556,"")</f>
        <v/>
      </c>
      <c r="H562" s="142" t="str">
        <f t="shared" si="419"/>
        <v/>
      </c>
      <c r="I562" s="117" t="str">
        <f t="shared" si="420"/>
        <v/>
      </c>
      <c r="J562" s="142" t="str">
        <f>IF(D362=100%,'Données d''entrée'!$C$557,"")</f>
        <v/>
      </c>
      <c r="K562" s="142" t="str">
        <f>IF(E362=100%,'Données d''entrée'!$D$557,"")</f>
        <v/>
      </c>
      <c r="L562" s="142" t="str">
        <f t="shared" si="421"/>
        <v/>
      </c>
      <c r="M562" s="142" t="str">
        <f t="shared" si="422"/>
        <v/>
      </c>
      <c r="N562" s="381">
        <f t="shared" si="423"/>
        <v>0</v>
      </c>
    </row>
    <row r="563" spans="2:14" x14ac:dyDescent="0.35">
      <c r="B563" s="142" t="str">
        <f>IF(D363=100%,'Données d''entrée'!$C$555,"")</f>
        <v/>
      </c>
      <c r="C563" s="183" t="str">
        <f>IF(E363=100%,'Données d''entrée'!$D$555,"")</f>
        <v/>
      </c>
      <c r="D563" s="142" t="str">
        <f t="shared" si="417"/>
        <v/>
      </c>
      <c r="E563" s="185" t="str">
        <f t="shared" si="418"/>
        <v/>
      </c>
      <c r="F563" s="142" t="str">
        <f>IF(D363=100%,'Données d''entrée'!$C$556,"")</f>
        <v/>
      </c>
      <c r="G563" s="142" t="str">
        <f>IF(E363=100%,'Données d''entrée'!$D$556,"")</f>
        <v/>
      </c>
      <c r="H563" s="142" t="str">
        <f t="shared" si="419"/>
        <v/>
      </c>
      <c r="I563" s="117" t="str">
        <f t="shared" si="420"/>
        <v/>
      </c>
      <c r="J563" s="142" t="str">
        <f>IF(D363=100%,'Données d''entrée'!$C$557,"")</f>
        <v/>
      </c>
      <c r="K563" s="142" t="str">
        <f>IF(E363=100%,'Données d''entrée'!$D$557,"")</f>
        <v/>
      </c>
      <c r="L563" s="142" t="str">
        <f t="shared" si="421"/>
        <v/>
      </c>
      <c r="M563" s="142" t="str">
        <f t="shared" si="422"/>
        <v/>
      </c>
      <c r="N563" s="381">
        <f t="shared" si="423"/>
        <v>0</v>
      </c>
    </row>
    <row r="564" spans="2:14" x14ac:dyDescent="0.35">
      <c r="B564" s="142" t="str">
        <f>IF(D364=100%,'Données d''entrée'!$C$555,"")</f>
        <v/>
      </c>
      <c r="C564" s="183" t="str">
        <f>IF(E364=100%,'Données d''entrée'!$D$555,"")</f>
        <v/>
      </c>
      <c r="D564" s="142" t="str">
        <f t="shared" si="417"/>
        <v/>
      </c>
      <c r="E564" s="185" t="str">
        <f t="shared" si="418"/>
        <v/>
      </c>
      <c r="F564" s="142" t="str">
        <f>IF(D364=100%,'Données d''entrée'!$C$556,"")</f>
        <v/>
      </c>
      <c r="G564" s="142" t="str">
        <f>IF(E364=100%,'Données d''entrée'!$D$556,"")</f>
        <v/>
      </c>
      <c r="H564" s="142" t="str">
        <f t="shared" si="419"/>
        <v/>
      </c>
      <c r="I564" s="117" t="str">
        <f t="shared" si="420"/>
        <v/>
      </c>
      <c r="J564" s="142" t="str">
        <f>IF(D364=100%,'Données d''entrée'!$C$557,"")</f>
        <v/>
      </c>
      <c r="K564" s="142" t="str">
        <f>IF(E364=100%,'Données d''entrée'!$D$557,"")</f>
        <v/>
      </c>
      <c r="L564" s="142" t="str">
        <f t="shared" si="421"/>
        <v/>
      </c>
      <c r="M564" s="142" t="str">
        <f t="shared" si="422"/>
        <v/>
      </c>
      <c r="N564" s="381">
        <f t="shared" si="423"/>
        <v>0</v>
      </c>
    </row>
    <row r="565" spans="2:14" x14ac:dyDescent="0.35">
      <c r="B565" s="142" t="str">
        <f>IF(D365=100%,'Données d''entrée'!$C$555,"")</f>
        <v/>
      </c>
      <c r="C565" s="183" t="str">
        <f>IF(E365=100%,'Données d''entrée'!$D$555,"")</f>
        <v/>
      </c>
      <c r="D565" s="142" t="str">
        <f t="shared" si="417"/>
        <v/>
      </c>
      <c r="E565" s="185" t="str">
        <f t="shared" si="418"/>
        <v/>
      </c>
      <c r="F565" s="142" t="str">
        <f>IF(D365=100%,'Données d''entrée'!$C$556,"")</f>
        <v/>
      </c>
      <c r="G565" s="142" t="str">
        <f>IF(E365=100%,'Données d''entrée'!$D$556,"")</f>
        <v/>
      </c>
      <c r="H565" s="142" t="str">
        <f t="shared" si="419"/>
        <v/>
      </c>
      <c r="I565" s="117" t="str">
        <f t="shared" si="420"/>
        <v/>
      </c>
      <c r="J565" s="142" t="str">
        <f>IF(D365=100%,'Données d''entrée'!$C$557,"")</f>
        <v/>
      </c>
      <c r="K565" s="142" t="str">
        <f>IF(E365=100%,'Données d''entrée'!$D$557,"")</f>
        <v/>
      </c>
      <c r="L565" s="142" t="str">
        <f t="shared" si="421"/>
        <v/>
      </c>
      <c r="M565" s="142" t="str">
        <f t="shared" si="422"/>
        <v/>
      </c>
      <c r="N565" s="381">
        <f t="shared" si="423"/>
        <v>0</v>
      </c>
    </row>
    <row r="566" spans="2:14" x14ac:dyDescent="0.35">
      <c r="B566" s="142" t="str">
        <f>IF(D366=100%,'Données d''entrée'!$C$555,"")</f>
        <v/>
      </c>
      <c r="C566" s="183" t="str">
        <f>IF(E366=100%,'Données d''entrée'!$D$555,"")</f>
        <v/>
      </c>
      <c r="D566" s="142" t="str">
        <f t="shared" si="417"/>
        <v/>
      </c>
      <c r="E566" s="185" t="str">
        <f t="shared" si="418"/>
        <v/>
      </c>
      <c r="F566" s="142" t="str">
        <f>IF(D366=100%,'Données d''entrée'!$C$556,"")</f>
        <v/>
      </c>
      <c r="G566" s="142" t="str">
        <f>IF(E366=100%,'Données d''entrée'!$D$556,"")</f>
        <v/>
      </c>
      <c r="H566" s="142" t="str">
        <f t="shared" si="419"/>
        <v/>
      </c>
      <c r="I566" s="117" t="str">
        <f t="shared" si="420"/>
        <v/>
      </c>
      <c r="J566" s="142" t="str">
        <f>IF(D366=100%,'Données d''entrée'!$C$557,"")</f>
        <v/>
      </c>
      <c r="K566" s="142" t="str">
        <f>IF(E366=100%,'Données d''entrée'!$D$557,"")</f>
        <v/>
      </c>
      <c r="L566" s="142" t="str">
        <f t="shared" si="421"/>
        <v/>
      </c>
      <c r="M566" s="142" t="str">
        <f t="shared" si="422"/>
        <v/>
      </c>
      <c r="N566" s="381">
        <f t="shared" si="423"/>
        <v>0</v>
      </c>
    </row>
    <row r="567" spans="2:14" x14ac:dyDescent="0.35">
      <c r="B567" s="142" t="str">
        <f>IF(D367=100%,'Données d''entrée'!$C$555,"")</f>
        <v/>
      </c>
      <c r="C567" s="183" t="str">
        <f>IF(E367=100%,'Données d''entrée'!$D$555,"")</f>
        <v/>
      </c>
      <c r="D567" s="142" t="str">
        <f t="shared" si="417"/>
        <v/>
      </c>
      <c r="E567" s="185" t="str">
        <f t="shared" si="418"/>
        <v/>
      </c>
      <c r="F567" s="142" t="str">
        <f>IF(D367=100%,'Données d''entrée'!$C$556,"")</f>
        <v/>
      </c>
      <c r="G567" s="142" t="str">
        <f>IF(E367=100%,'Données d''entrée'!$D$556,"")</f>
        <v/>
      </c>
      <c r="H567" s="142" t="str">
        <f t="shared" si="419"/>
        <v/>
      </c>
      <c r="I567" s="117" t="str">
        <f t="shared" si="420"/>
        <v/>
      </c>
      <c r="J567" s="142" t="str">
        <f>IF(D367=100%,'Données d''entrée'!$C$557,"")</f>
        <v/>
      </c>
      <c r="K567" s="142" t="str">
        <f>IF(E367=100%,'Données d''entrée'!$D$557,"")</f>
        <v/>
      </c>
      <c r="L567" s="142" t="str">
        <f t="shared" si="421"/>
        <v/>
      </c>
      <c r="M567" s="142" t="str">
        <f t="shared" si="422"/>
        <v/>
      </c>
      <c r="N567" s="381">
        <f t="shared" si="423"/>
        <v>0</v>
      </c>
    </row>
    <row r="568" spans="2:14" x14ac:dyDescent="0.35">
      <c r="B568" s="142" t="str">
        <f>IF(D368=100%,'Données d''entrée'!$C$555,"")</f>
        <v/>
      </c>
      <c r="C568" s="183" t="str">
        <f>IF(E368=100%,'Données d''entrée'!$D$555,"")</f>
        <v/>
      </c>
      <c r="D568" s="142" t="str">
        <f t="shared" si="417"/>
        <v/>
      </c>
      <c r="E568" s="185" t="str">
        <f t="shared" si="418"/>
        <v/>
      </c>
      <c r="F568" s="142" t="str">
        <f>IF(D368=100%,'Données d''entrée'!$C$556,"")</f>
        <v/>
      </c>
      <c r="G568" s="142" t="str">
        <f>IF(E368=100%,'Données d''entrée'!$D$556,"")</f>
        <v/>
      </c>
      <c r="H568" s="142" t="str">
        <f t="shared" si="419"/>
        <v/>
      </c>
      <c r="I568" s="117" t="str">
        <f t="shared" si="420"/>
        <v/>
      </c>
      <c r="J568" s="142" t="str">
        <f>IF(D368=100%,'Données d''entrée'!$C$557,"")</f>
        <v/>
      </c>
      <c r="K568" s="142" t="str">
        <f>IF(E368=100%,'Données d''entrée'!$D$557,"")</f>
        <v/>
      </c>
      <c r="L568" s="142" t="str">
        <f t="shared" si="421"/>
        <v/>
      </c>
      <c r="M568" s="142" t="str">
        <f t="shared" si="422"/>
        <v/>
      </c>
      <c r="N568" s="381">
        <f t="shared" si="423"/>
        <v>0</v>
      </c>
    </row>
    <row r="569" spans="2:14" x14ac:dyDescent="0.35">
      <c r="B569" s="142" t="str">
        <f>IF(D369=100%,'Données d''entrée'!$C$555,"")</f>
        <v/>
      </c>
      <c r="C569" s="183" t="str">
        <f>IF(E369=100%,'Données d''entrée'!$D$555,"")</f>
        <v/>
      </c>
      <c r="D569" s="142" t="str">
        <f t="shared" si="417"/>
        <v/>
      </c>
      <c r="E569" s="185" t="str">
        <f t="shared" si="418"/>
        <v/>
      </c>
      <c r="F569" s="142" t="str">
        <f>IF(D369=100%,'Données d''entrée'!$C$556,"")</f>
        <v/>
      </c>
      <c r="G569" s="142" t="str">
        <f>IF(E369=100%,'Données d''entrée'!$D$556,"")</f>
        <v/>
      </c>
      <c r="H569" s="142" t="str">
        <f t="shared" si="419"/>
        <v/>
      </c>
      <c r="I569" s="117" t="str">
        <f t="shared" si="420"/>
        <v/>
      </c>
      <c r="J569" s="142" t="str">
        <f>IF(D369=100%,'Données d''entrée'!$C$557,"")</f>
        <v/>
      </c>
      <c r="K569" s="142" t="str">
        <f>IF(E369=100%,'Données d''entrée'!$D$557,"")</f>
        <v/>
      </c>
      <c r="L569" s="142" t="str">
        <f t="shared" si="421"/>
        <v/>
      </c>
      <c r="M569" s="142" t="str">
        <f t="shared" si="422"/>
        <v/>
      </c>
      <c r="N569" s="381">
        <f t="shared" si="423"/>
        <v>0</v>
      </c>
    </row>
    <row r="570" spans="2:14" x14ac:dyDescent="0.35">
      <c r="B570" s="142" t="str">
        <f>IF(D370=100%,'Données d''entrée'!$C$555,"")</f>
        <v/>
      </c>
      <c r="C570" s="183" t="str">
        <f>IF(E370=100%,'Données d''entrée'!$D$555,"")</f>
        <v/>
      </c>
      <c r="D570" s="142" t="str">
        <f t="shared" si="417"/>
        <v/>
      </c>
      <c r="E570" s="185" t="str">
        <f t="shared" si="418"/>
        <v/>
      </c>
      <c r="F570" s="142" t="str">
        <f>IF(D370=100%,'Données d''entrée'!$C$556,"")</f>
        <v/>
      </c>
      <c r="G570" s="142" t="str">
        <f>IF(E370=100%,'Données d''entrée'!$D$556,"")</f>
        <v/>
      </c>
      <c r="H570" s="142" t="str">
        <f t="shared" si="419"/>
        <v/>
      </c>
      <c r="I570" s="117" t="str">
        <f t="shared" si="420"/>
        <v/>
      </c>
      <c r="J570" s="142" t="str">
        <f>IF(D370=100%,'Données d''entrée'!$C$557,"")</f>
        <v/>
      </c>
      <c r="K570" s="142" t="str">
        <f>IF(E370=100%,'Données d''entrée'!$D$557,"")</f>
        <v/>
      </c>
      <c r="L570" s="142" t="str">
        <f t="shared" si="421"/>
        <v/>
      </c>
      <c r="M570" s="142" t="str">
        <f t="shared" si="422"/>
        <v/>
      </c>
      <c r="N570" s="381">
        <f t="shared" si="423"/>
        <v>0</v>
      </c>
    </row>
    <row r="571" spans="2:14" x14ac:dyDescent="0.35">
      <c r="B571" s="142" t="str">
        <f>IF(D371=100%,'Données d''entrée'!$C$555,"")</f>
        <v/>
      </c>
      <c r="C571" s="183" t="str">
        <f>IF(E371=100%,'Données d''entrée'!$D$555,"")</f>
        <v/>
      </c>
      <c r="D571" s="142" t="str">
        <f t="shared" si="417"/>
        <v/>
      </c>
      <c r="E571" s="185" t="str">
        <f t="shared" si="418"/>
        <v/>
      </c>
      <c r="F571" s="142" t="str">
        <f>IF(D371=100%,'Données d''entrée'!$C$556,"")</f>
        <v/>
      </c>
      <c r="G571" s="142" t="str">
        <f>IF(E371=100%,'Données d''entrée'!$D$556,"")</f>
        <v/>
      </c>
      <c r="H571" s="142" t="str">
        <f t="shared" si="419"/>
        <v/>
      </c>
      <c r="I571" s="117" t="str">
        <f t="shared" si="420"/>
        <v/>
      </c>
      <c r="J571" s="142" t="str">
        <f>IF(D371=100%,'Données d''entrée'!$C$557,"")</f>
        <v/>
      </c>
      <c r="K571" s="142" t="str">
        <f>IF(E371=100%,'Données d''entrée'!$D$557,"")</f>
        <v/>
      </c>
      <c r="L571" s="142" t="str">
        <f t="shared" si="421"/>
        <v/>
      </c>
      <c r="M571" s="142" t="str">
        <f t="shared" si="422"/>
        <v/>
      </c>
      <c r="N571" s="381">
        <f t="shared" si="423"/>
        <v>0</v>
      </c>
    </row>
    <row r="572" spans="2:14" x14ac:dyDescent="0.35">
      <c r="B572" s="142" t="str">
        <f>IF(D372=100%,'Données d''entrée'!$C$555,"")</f>
        <v/>
      </c>
      <c r="C572" s="183" t="str">
        <f>IF(E372=100%,'Données d''entrée'!$D$555,"")</f>
        <v/>
      </c>
      <c r="D572" s="142" t="str">
        <f t="shared" si="417"/>
        <v/>
      </c>
      <c r="E572" s="185" t="str">
        <f t="shared" si="418"/>
        <v/>
      </c>
      <c r="F572" s="142" t="str">
        <f>IF(D372=100%,'Données d''entrée'!$C$556,"")</f>
        <v/>
      </c>
      <c r="G572" s="142" t="str">
        <f>IF(E372=100%,'Données d''entrée'!$D$556,"")</f>
        <v/>
      </c>
      <c r="H572" s="142" t="str">
        <f t="shared" si="419"/>
        <v/>
      </c>
      <c r="I572" s="117" t="str">
        <f t="shared" si="420"/>
        <v/>
      </c>
      <c r="J572" s="142" t="str">
        <f>IF(D372=100%,'Données d''entrée'!$C$557,"")</f>
        <v/>
      </c>
      <c r="K572" s="142" t="str">
        <f>IF(E372=100%,'Données d''entrée'!$D$557,"")</f>
        <v/>
      </c>
      <c r="L572" s="142" t="str">
        <f t="shared" si="421"/>
        <v/>
      </c>
      <c r="M572" s="142" t="str">
        <f t="shared" si="422"/>
        <v/>
      </c>
      <c r="N572" s="381">
        <f t="shared" si="423"/>
        <v>0</v>
      </c>
    </row>
    <row r="574" spans="2:14" ht="26" x14ac:dyDescent="0.6">
      <c r="B574" s="376" t="s">
        <v>275</v>
      </c>
      <c r="C574" s="148">
        <f>SUM(N553:N572)</f>
        <v>0</v>
      </c>
      <c r="D574" s="149" t="s">
        <v>276</v>
      </c>
    </row>
    <row r="578" spans="1:17" x14ac:dyDescent="0.35">
      <c r="A578" s="50" t="s">
        <v>750</v>
      </c>
    </row>
    <row r="581" spans="1:17" ht="63.75" customHeight="1" x14ac:dyDescent="0.35">
      <c r="C581" s="128" t="s">
        <v>260</v>
      </c>
      <c r="D581" s="112" t="s">
        <v>526</v>
      </c>
      <c r="E581" s="112" t="s">
        <v>365</v>
      </c>
      <c r="F581" s="128" t="s">
        <v>261</v>
      </c>
      <c r="G581" s="112" t="s">
        <v>262</v>
      </c>
      <c r="H581" s="371" t="s">
        <v>266</v>
      </c>
      <c r="I581" s="371" t="s">
        <v>647</v>
      </c>
      <c r="J581" s="371" t="s">
        <v>648</v>
      </c>
      <c r="K581" s="371" t="s">
        <v>263</v>
      </c>
      <c r="L581" s="371" t="s">
        <v>509</v>
      </c>
      <c r="M581" s="371" t="s">
        <v>264</v>
      </c>
      <c r="N581" s="112" t="s">
        <v>366</v>
      </c>
      <c r="O581" s="112" t="s">
        <v>367</v>
      </c>
      <c r="P581" s="112" t="s">
        <v>265</v>
      </c>
      <c r="Q581" s="112" t="s">
        <v>267</v>
      </c>
    </row>
    <row r="582" spans="1:17" x14ac:dyDescent="0.35">
      <c r="B582" s="193" t="s">
        <v>19</v>
      </c>
      <c r="C582" s="191">
        <f>C405</f>
        <v>0</v>
      </c>
      <c r="D582" s="383">
        <f>H480+I480+Y480+Z480</f>
        <v>0</v>
      </c>
      <c r="E582" s="191">
        <f>AJ480</f>
        <v>0</v>
      </c>
      <c r="F582" s="194">
        <f>'Données d''entrée'!$C$588</f>
        <v>0.01</v>
      </c>
      <c r="G582" s="117">
        <f>E582*F582</f>
        <v>0</v>
      </c>
      <c r="H582" s="195">
        <f>SUM(D582,G582)</f>
        <v>0</v>
      </c>
      <c r="I582" s="195">
        <f>C443+C475+F480+G480+W480+X480</f>
        <v>0</v>
      </c>
      <c r="J582" s="196">
        <f>C482+E582*'Données d''entrée'!$C$596/100</f>
        <v>0</v>
      </c>
      <c r="K582" s="119">
        <f>'Données d''entrée'!$C$590</f>
        <v>0.01</v>
      </c>
      <c r="L582" s="118">
        <f>L480+AC480+E582*'Données d''entrée'!$C$595</f>
        <v>0</v>
      </c>
      <c r="M582" s="197">
        <f>'Données d''entrée'!$C$591</f>
        <v>7.4999999999999997E-3</v>
      </c>
      <c r="N582" s="198">
        <f>(I582+J582)*K582</f>
        <v>0</v>
      </c>
      <c r="O582" s="198">
        <f>L582*M582</f>
        <v>0</v>
      </c>
      <c r="P582" s="198">
        <f>SUM(N582:O582)</f>
        <v>0</v>
      </c>
      <c r="Q582" s="198">
        <f>H582+P582</f>
        <v>0</v>
      </c>
    </row>
    <row r="585" spans="1:17" ht="26" x14ac:dyDescent="0.6">
      <c r="B585" s="376" t="s">
        <v>752</v>
      </c>
      <c r="C585" s="384">
        <f>Q582</f>
        <v>0</v>
      </c>
      <c r="D585" s="149" t="s">
        <v>269</v>
      </c>
    </row>
    <row r="586" spans="1:17" ht="26" x14ac:dyDescent="0.6">
      <c r="B586" s="376" t="s">
        <v>268</v>
      </c>
      <c r="C586" s="384">
        <f>IF(ISERROR(C585*44/28),0,C585*44/28)</f>
        <v>0</v>
      </c>
      <c r="D586" s="149" t="s">
        <v>271</v>
      </c>
    </row>
  </sheetData>
  <mergeCells count="161">
    <mergeCell ref="B551:E551"/>
    <mergeCell ref="F551:I551"/>
    <mergeCell ref="J551:M551"/>
    <mergeCell ref="N551:N552"/>
    <mergeCell ref="M495:M496"/>
    <mergeCell ref="N495:N496"/>
    <mergeCell ref="O495:O496"/>
    <mergeCell ref="P495:P496"/>
    <mergeCell ref="Q495:Q496"/>
    <mergeCell ref="R495:R496"/>
    <mergeCell ref="B525:E525"/>
    <mergeCell ref="F525:I525"/>
    <mergeCell ref="J525:M525"/>
    <mergeCell ref="N525:N526"/>
    <mergeCell ref="B495:C495"/>
    <mergeCell ref="D495:E495"/>
    <mergeCell ref="F495:F496"/>
    <mergeCell ref="G495:G496"/>
    <mergeCell ref="H495:H496"/>
    <mergeCell ref="I495:I496"/>
    <mergeCell ref="J495:J496"/>
    <mergeCell ref="K495:K496"/>
    <mergeCell ref="L495:L496"/>
    <mergeCell ref="AJ159:AQ159"/>
    <mergeCell ref="AA158:AQ158"/>
    <mergeCell ref="F191:M191"/>
    <mergeCell ref="N191:U191"/>
    <mergeCell ref="N192:O192"/>
    <mergeCell ref="P192:Q192"/>
    <mergeCell ref="R192:R193"/>
    <mergeCell ref="S192:T192"/>
    <mergeCell ref="H180:P180"/>
    <mergeCell ref="Q180:Y180"/>
    <mergeCell ref="Q181:R181"/>
    <mergeCell ref="S181:T181"/>
    <mergeCell ref="U181:U182"/>
    <mergeCell ref="V181:V182"/>
    <mergeCell ref="W181:W182"/>
    <mergeCell ref="X181:X182"/>
    <mergeCell ref="F192:G192"/>
    <mergeCell ref="H192:I192"/>
    <mergeCell ref="I97:Y97"/>
    <mergeCell ref="W98:Y98"/>
    <mergeCell ref="I98:J98"/>
    <mergeCell ref="P181:P182"/>
    <mergeCell ref="U192:U193"/>
    <mergeCell ref="AI159:AI160"/>
    <mergeCell ref="AC159:AH159"/>
    <mergeCell ref="L159:Q159"/>
    <mergeCell ref="AA159:AB159"/>
    <mergeCell ref="S98:T98"/>
    <mergeCell ref="U98:V98"/>
    <mergeCell ref="Q98:R98"/>
    <mergeCell ref="Y125:AB125"/>
    <mergeCell ref="U124:AB124"/>
    <mergeCell ref="M125:P125"/>
    <mergeCell ref="G152:J152"/>
    <mergeCell ref="H159:I159"/>
    <mergeCell ref="Q125:T125"/>
    <mergeCell ref="M124:T124"/>
    <mergeCell ref="N152:O152"/>
    <mergeCell ref="C98:H98"/>
    <mergeCell ref="AM73:AN73"/>
    <mergeCell ref="AO73:AP73"/>
    <mergeCell ref="A1:C1"/>
    <mergeCell ref="J73:M73"/>
    <mergeCell ref="N73:Q73"/>
    <mergeCell ref="AL72:BB72"/>
    <mergeCell ref="AQ73:AR73"/>
    <mergeCell ref="AS73:AT73"/>
    <mergeCell ref="AU73:AV73"/>
    <mergeCell ref="AW73:AX73"/>
    <mergeCell ref="AY73:AZ73"/>
    <mergeCell ref="BA73:BC73"/>
    <mergeCell ref="R73:U73"/>
    <mergeCell ref="V73:Y73"/>
    <mergeCell ref="Z73:AC73"/>
    <mergeCell ref="AD73:AG73"/>
    <mergeCell ref="AH73:AK73"/>
    <mergeCell ref="K322:N322"/>
    <mergeCell ref="K351:N351"/>
    <mergeCell ref="O351:R351"/>
    <mergeCell ref="S351:V351"/>
    <mergeCell ref="W351:Y351"/>
    <mergeCell ref="O322:R322"/>
    <mergeCell ref="S322:V322"/>
    <mergeCell ref="W322:Y322"/>
    <mergeCell ref="K264:L264"/>
    <mergeCell ref="M264:N264"/>
    <mergeCell ref="P264:P265"/>
    <mergeCell ref="Q264:Q265"/>
    <mergeCell ref="R264:R265"/>
    <mergeCell ref="S264:S265"/>
    <mergeCell ref="T264:T265"/>
    <mergeCell ref="B246:D246"/>
    <mergeCell ref="B242:D242"/>
    <mergeCell ref="U125:X125"/>
    <mergeCell ref="B243:D243"/>
    <mergeCell ref="B241:D241"/>
    <mergeCell ref="C218:G218"/>
    <mergeCell ref="H218:L218"/>
    <mergeCell ref="M218:O218"/>
    <mergeCell ref="B244:D244"/>
    <mergeCell ref="J181:K181"/>
    <mergeCell ref="L181:L182"/>
    <mergeCell ref="M181:M182"/>
    <mergeCell ref="N181:N182"/>
    <mergeCell ref="O181:O182"/>
    <mergeCell ref="C207:O207"/>
    <mergeCell ref="C152:F152"/>
    <mergeCell ref="R159:R160"/>
    <mergeCell ref="M192:M193"/>
    <mergeCell ref="H181:I181"/>
    <mergeCell ref="J192:J193"/>
    <mergeCell ref="K192:L192"/>
    <mergeCell ref="S159:Z159"/>
    <mergeCell ref="G305:H305"/>
    <mergeCell ref="I305:J305"/>
    <mergeCell ref="L152:M152"/>
    <mergeCell ref="J159:K159"/>
    <mergeCell ref="K98:L98"/>
    <mergeCell ref="M98:N98"/>
    <mergeCell ref="O98:P98"/>
    <mergeCell ref="H158:Z158"/>
    <mergeCell ref="F170:T170"/>
    <mergeCell ref="U170:AI170"/>
    <mergeCell ref="P207:AB207"/>
    <mergeCell ref="O264:O265"/>
    <mergeCell ref="U264:U265"/>
    <mergeCell ref="V264:V265"/>
    <mergeCell ref="J295:K295"/>
    <mergeCell ref="L295:M295"/>
    <mergeCell ref="H295:I295"/>
    <mergeCell ref="Y181:Y182"/>
    <mergeCell ref="AG420:AH420"/>
    <mergeCell ref="AI420:AJ420"/>
    <mergeCell ref="AK420:AL420"/>
    <mergeCell ref="AM420:AN420"/>
    <mergeCell ref="AO420:AP420"/>
    <mergeCell ref="AQ420:AR420"/>
    <mergeCell ref="AS420:AU420"/>
    <mergeCell ref="B420:E420"/>
    <mergeCell ref="F420:I420"/>
    <mergeCell ref="J420:M420"/>
    <mergeCell ref="N420:Q420"/>
    <mergeCell ref="R420:U420"/>
    <mergeCell ref="V420:Y420"/>
    <mergeCell ref="Z420:AC420"/>
    <mergeCell ref="AE420:AF420"/>
    <mergeCell ref="B471:L471"/>
    <mergeCell ref="M471:W471"/>
    <mergeCell ref="X471:X472"/>
    <mergeCell ref="S478:AG478"/>
    <mergeCell ref="AH478:AH479"/>
    <mergeCell ref="B447:I447"/>
    <mergeCell ref="J447:Q447"/>
    <mergeCell ref="B448:E448"/>
    <mergeCell ref="F448:I448"/>
    <mergeCell ref="J448:M448"/>
    <mergeCell ref="N448:Q448"/>
    <mergeCell ref="B478:R47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20"/>
  <dimension ref="A1:S133"/>
  <sheetViews>
    <sheetView showGridLines="0" zoomScale="70" zoomScaleNormal="70" workbookViewId="0"/>
  </sheetViews>
  <sheetFormatPr baseColWidth="10" defaultRowHeight="14.5" x14ac:dyDescent="0.35"/>
  <cols>
    <col min="1" max="1" width="4" customWidth="1"/>
    <col min="2" max="2" width="61.26953125" customWidth="1"/>
    <col min="3" max="3" width="18.54296875" customWidth="1"/>
    <col min="4" max="4" width="21.7265625" customWidth="1"/>
    <col min="5" max="5" width="16.7265625" customWidth="1"/>
    <col min="6" max="6" width="23.7265625" customWidth="1"/>
    <col min="7" max="7" width="20.1796875" customWidth="1"/>
    <col min="8" max="8" width="18.7265625" customWidth="1"/>
    <col min="9" max="9" width="18" customWidth="1"/>
    <col min="10" max="10" width="14.81640625" customWidth="1"/>
    <col min="11" max="11" width="15.1796875" customWidth="1"/>
    <col min="12" max="12" width="16.26953125" customWidth="1"/>
    <col min="13" max="13" width="22" customWidth="1"/>
    <col min="14" max="14" width="17.7265625" customWidth="1"/>
    <col min="15" max="15" width="21" customWidth="1"/>
    <col min="16" max="16" width="20.26953125" customWidth="1"/>
    <col min="17" max="18" width="15.26953125" customWidth="1"/>
    <col min="19" max="19" width="15.7265625" customWidth="1"/>
    <col min="20" max="20" width="12.26953125" customWidth="1"/>
  </cols>
  <sheetData>
    <row r="1" spans="1:10" ht="18.5" x14ac:dyDescent="0.45">
      <c r="A1" s="74" t="s">
        <v>754</v>
      </c>
    </row>
    <row r="3" spans="1:10" ht="15" customHeight="1" x14ac:dyDescent="0.35">
      <c r="B3" s="569" t="s">
        <v>761</v>
      </c>
      <c r="C3" s="542" t="s">
        <v>756</v>
      </c>
      <c r="D3" s="542" t="s">
        <v>757</v>
      </c>
      <c r="E3" s="542" t="s">
        <v>758</v>
      </c>
      <c r="F3" s="542" t="s">
        <v>759</v>
      </c>
      <c r="G3" s="542" t="s">
        <v>760</v>
      </c>
    </row>
    <row r="4" spans="1:10" ht="22.15" customHeight="1" x14ac:dyDescent="0.35">
      <c r="B4" s="570"/>
      <c r="C4" s="543"/>
      <c r="D4" s="543"/>
      <c r="E4" s="543"/>
      <c r="F4" s="543"/>
      <c r="G4" s="543"/>
    </row>
    <row r="5" spans="1:10" x14ac:dyDescent="0.35">
      <c r="B5" s="571"/>
      <c r="C5" s="7" t="s">
        <v>27</v>
      </c>
      <c r="D5" s="7" t="s">
        <v>27</v>
      </c>
      <c r="E5" s="7" t="s">
        <v>27</v>
      </c>
      <c r="F5" s="7" t="s">
        <v>27</v>
      </c>
      <c r="G5" s="42" t="s">
        <v>27</v>
      </c>
    </row>
    <row r="6" spans="1:10" s="12" customFormat="1" x14ac:dyDescent="0.35">
      <c r="B6" s="1" t="s">
        <v>241</v>
      </c>
      <c r="C6" s="11">
        <f>Emissions!$C$122*17/14</f>
        <v>0</v>
      </c>
      <c r="D6" s="566"/>
      <c r="E6" s="566"/>
      <c r="F6" s="566"/>
      <c r="G6" s="566"/>
    </row>
    <row r="7" spans="1:10" s="12" customFormat="1" x14ac:dyDescent="0.35">
      <c r="B7" s="1" t="s">
        <v>82</v>
      </c>
      <c r="C7" s="11">
        <f>Emissions!$C$202*17/14</f>
        <v>0</v>
      </c>
      <c r="D7" s="567"/>
      <c r="E7" s="567"/>
      <c r="F7" s="567"/>
      <c r="G7" s="567"/>
    </row>
    <row r="8" spans="1:10" s="12" customFormat="1" x14ac:dyDescent="0.35">
      <c r="B8" s="1" t="s">
        <v>346</v>
      </c>
      <c r="C8" s="11">
        <f>Emissions!$E$241*17/14</f>
        <v>0</v>
      </c>
      <c r="D8" s="567"/>
      <c r="E8" s="567"/>
      <c r="F8" s="567"/>
      <c r="G8" s="567"/>
    </row>
    <row r="9" spans="1:10" s="12" customFormat="1" x14ac:dyDescent="0.35">
      <c r="B9" s="1" t="s">
        <v>369</v>
      </c>
      <c r="C9" s="11">
        <f>Emissions!$E$242*17/14</f>
        <v>0</v>
      </c>
      <c r="D9" s="567"/>
      <c r="E9" s="567"/>
      <c r="F9" s="567"/>
      <c r="G9" s="567"/>
    </row>
    <row r="10" spans="1:10" s="12" customFormat="1" ht="15" thickBot="1" x14ac:dyDescent="0.4">
      <c r="B10" s="68" t="s">
        <v>370</v>
      </c>
      <c r="C10" s="72">
        <f>Emissions!$E$243*17/14</f>
        <v>0</v>
      </c>
      <c r="D10" s="568"/>
      <c r="E10" s="568"/>
      <c r="F10" s="568"/>
      <c r="G10" s="568"/>
    </row>
    <row r="11" spans="1:10" ht="44.25" customHeight="1" thickBot="1" x14ac:dyDescent="0.4">
      <c r="B11" s="69" t="s">
        <v>371</v>
      </c>
      <c r="C11" s="70">
        <f>Emissions!$I$246</f>
        <v>0</v>
      </c>
      <c r="D11" s="70">
        <f>Emissions!$C$410</f>
        <v>0</v>
      </c>
      <c r="E11" s="70">
        <f>Emissions!$C$317</f>
        <v>0</v>
      </c>
      <c r="F11" s="70">
        <f>Emissions!$C$346</f>
        <v>0</v>
      </c>
      <c r="G11" s="71">
        <f>Emissions!$C$375</f>
        <v>0</v>
      </c>
    </row>
    <row r="13" spans="1:10" ht="29" x14ac:dyDescent="0.35">
      <c r="B13" s="5" t="s">
        <v>372</v>
      </c>
      <c r="C13" s="11">
        <v>10000</v>
      </c>
      <c r="D13" s="11">
        <v>10000</v>
      </c>
      <c r="E13" s="11">
        <v>100000</v>
      </c>
      <c r="F13" s="11">
        <v>100000</v>
      </c>
      <c r="G13" s="11">
        <v>50000</v>
      </c>
    </row>
    <row r="15" spans="1:10" s="12" customFormat="1" x14ac:dyDescent="0.35"/>
    <row r="16" spans="1:10" ht="18.5" x14ac:dyDescent="0.45">
      <c r="A16" s="74" t="s">
        <v>755</v>
      </c>
      <c r="J16" s="12"/>
    </row>
    <row r="17" spans="1:12" s="12" customFormat="1" ht="18.5" x14ac:dyDescent="0.45">
      <c r="C17"/>
      <c r="D17"/>
      <c r="E17"/>
      <c r="F17"/>
      <c r="G17"/>
      <c r="L17" s="74"/>
    </row>
    <row r="18" spans="1:12" s="12" customFormat="1" ht="18.75" customHeight="1" x14ac:dyDescent="0.45">
      <c r="C18" s="542" t="s">
        <v>756</v>
      </c>
      <c r="D18" s="542" t="s">
        <v>757</v>
      </c>
      <c r="E18" s="542" t="s">
        <v>758</v>
      </c>
      <c r="F18" s="542" t="s">
        <v>759</v>
      </c>
      <c r="G18" s="542" t="s">
        <v>760</v>
      </c>
      <c r="L18" s="74"/>
    </row>
    <row r="19" spans="1:12" s="12" customFormat="1" ht="18.5" x14ac:dyDescent="0.45">
      <c r="C19" s="543"/>
      <c r="D19" s="543"/>
      <c r="E19" s="543"/>
      <c r="F19" s="543"/>
      <c r="G19" s="543"/>
      <c r="L19" s="74"/>
    </row>
    <row r="20" spans="1:12" s="12" customFormat="1" ht="18.5" x14ac:dyDescent="0.45">
      <c r="C20" s="363" t="s">
        <v>27</v>
      </c>
      <c r="D20" s="363" t="s">
        <v>27</v>
      </c>
      <c r="E20" s="363" t="s">
        <v>27</v>
      </c>
      <c r="F20" s="363" t="s">
        <v>27</v>
      </c>
      <c r="G20" s="363" t="s">
        <v>27</v>
      </c>
      <c r="L20" s="74"/>
    </row>
    <row r="21" spans="1:12" s="12" customFormat="1" ht="18.5" x14ac:dyDescent="0.45">
      <c r="B21" s="1" t="s">
        <v>241</v>
      </c>
      <c r="C21" s="11">
        <f>Emissions!$C$443*17/14</f>
        <v>0</v>
      </c>
      <c r="D21" s="566"/>
      <c r="E21" s="566"/>
      <c r="F21" s="566"/>
      <c r="G21" s="566"/>
      <c r="L21" s="74"/>
    </row>
    <row r="22" spans="1:12" s="12" customFormat="1" ht="18.5" x14ac:dyDescent="0.45">
      <c r="B22" s="1" t="s">
        <v>82</v>
      </c>
      <c r="C22" s="11">
        <f>Emissions!$C$475*17/14</f>
        <v>0</v>
      </c>
      <c r="D22" s="567"/>
      <c r="E22" s="567"/>
      <c r="F22" s="567"/>
      <c r="G22" s="567"/>
      <c r="L22" s="74"/>
    </row>
    <row r="23" spans="1:12" s="12" customFormat="1" ht="18.5" x14ac:dyDescent="0.45">
      <c r="B23" s="1" t="s">
        <v>346</v>
      </c>
      <c r="C23" s="11">
        <f>Emissions!$C$482*17/14</f>
        <v>0</v>
      </c>
      <c r="D23" s="567"/>
      <c r="E23" s="567"/>
      <c r="F23" s="567"/>
      <c r="G23" s="567"/>
      <c r="L23" s="74"/>
    </row>
    <row r="24" spans="1:12" s="12" customFormat="1" ht="18.5" x14ac:dyDescent="0.45">
      <c r="C24" s="572"/>
      <c r="D24" s="567"/>
      <c r="E24" s="567"/>
      <c r="F24" s="567"/>
      <c r="G24" s="567"/>
      <c r="L24" s="74"/>
    </row>
    <row r="25" spans="1:12" s="12" customFormat="1" ht="19" thickBot="1" x14ac:dyDescent="0.5">
      <c r="C25" s="573"/>
      <c r="D25" s="568"/>
      <c r="E25" s="568"/>
      <c r="F25" s="568"/>
      <c r="G25" s="568"/>
      <c r="L25" s="74"/>
    </row>
    <row r="26" spans="1:12" s="12" customFormat="1" ht="37.5" thickBot="1" x14ac:dyDescent="0.5">
      <c r="B26" s="69" t="s">
        <v>371</v>
      </c>
      <c r="C26" s="70">
        <f>SUM(C21:C23)</f>
        <v>0</v>
      </c>
      <c r="D26" s="70">
        <f>Emissions!C586</f>
        <v>0</v>
      </c>
      <c r="E26" s="70">
        <f>Emissions!C519</f>
        <v>0</v>
      </c>
      <c r="F26" s="70">
        <f>Emissions!C548</f>
        <v>0</v>
      </c>
      <c r="G26" s="71">
        <f>Emissions!C574</f>
        <v>0</v>
      </c>
      <c r="L26" s="74"/>
    </row>
    <row r="27" spans="1:12" s="12" customFormat="1" ht="18.5" x14ac:dyDescent="0.45">
      <c r="L27" s="74"/>
    </row>
    <row r="28" spans="1:12" s="12" customFormat="1" ht="18.5" x14ac:dyDescent="0.45">
      <c r="L28" s="74"/>
    </row>
    <row r="29" spans="1:12" ht="18.5" x14ac:dyDescent="0.45">
      <c r="A29" s="74" t="s">
        <v>762</v>
      </c>
    </row>
    <row r="30" spans="1:12" ht="14.5" customHeight="1" x14ac:dyDescent="0.35"/>
    <row r="31" spans="1:12" ht="34.9" customHeight="1" x14ac:dyDescent="0.35">
      <c r="C31" s="561" t="s">
        <v>763</v>
      </c>
      <c r="D31" s="562"/>
      <c r="E31" s="563"/>
      <c r="F31" s="564" t="s">
        <v>699</v>
      </c>
      <c r="G31" s="561" t="s">
        <v>205</v>
      </c>
      <c r="H31" s="562"/>
      <c r="I31" s="563"/>
      <c r="J31" s="564" t="s">
        <v>700</v>
      </c>
    </row>
    <row r="32" spans="1:12" ht="70.900000000000006" customHeight="1" x14ac:dyDescent="0.35">
      <c r="B32" s="73" t="s">
        <v>122</v>
      </c>
      <c r="C32" s="346" t="s">
        <v>697</v>
      </c>
      <c r="D32" s="346" t="s">
        <v>764</v>
      </c>
      <c r="E32" s="347" t="s">
        <v>698</v>
      </c>
      <c r="F32" s="565"/>
      <c r="G32" s="345" t="s">
        <v>380</v>
      </c>
      <c r="H32" s="22" t="s">
        <v>381</v>
      </c>
      <c r="I32" s="22" t="s">
        <v>379</v>
      </c>
      <c r="J32" s="565"/>
    </row>
    <row r="33" spans="2:10" x14ac:dyDescent="0.35">
      <c r="B33" s="75" t="str">
        <f>IF(Exploitation!B15="","",Exploitation!B15)</f>
        <v/>
      </c>
      <c r="C33" s="76" t="str">
        <f>IF(ISERROR((Emissions!I100+Emissions!J100)/(Emissions!$C$18*Emissions!C48)*17/14),"",((Emissions!I100+Emissions!J100)/(Emissions!$C$18*Emissions!C48)*17/14))</f>
        <v/>
      </c>
      <c r="D33" s="76" t="str">
        <f>IF(ISERROR((Emissions!K100+Emissions!L100)/(Emissions!$D$18*Emissions!D48)*17/14),"",((Emissions!K100+Emissions!L100)/(Emissions!$D$18*Emissions!D48)*17/14))</f>
        <v/>
      </c>
      <c r="E33" s="76" t="str">
        <f>IF(ISERROR((Emissions!M100+Emissions!N100)/(Emissions!$E$18*Emissions!E48)*17/14),"",((Emissions!M100+Emissions!N100)/(Emissions!$E$18*Emissions!E48)*17/14))</f>
        <v/>
      </c>
      <c r="F33" s="76" t="str">
        <f>IF(ISERROR((Emissions!I100+Emissions!J100+Emissions!K100+Emissions!L100+Emissions!M100+Emissions!N100)/(Emissions!$C$18*Emissions!C48+Emissions!$D$18*Emissions!D48+Emissions!$E$18*Emissions!E48)*17/14),"",(Emissions!I100+Emissions!J100+Emissions!K100+Emissions!L100+Emissions!M100+Emissions!N100)/(Emissions!$C$18*Emissions!C48+Emissions!$D$18*Emissions!D48+Emissions!$E$18*Emissions!E48)*17/14)</f>
        <v/>
      </c>
      <c r="G33" s="76" t="str">
        <f>IF(ISERROR((Emissions!O100+Emissions!P100)/(Emissions!$F$18*Emissions!F48)*17/14),"",((Emissions!O100+Emissions!P100)/(Emissions!$F$18*Emissions!F48)*17/14))</f>
        <v/>
      </c>
      <c r="H33" s="76" t="str">
        <f>IF(ISERROR((Emissions!Q100+Emissions!R100+Emissions!S100+Emissions!T100)/(Emissions!$G$18*Emissions!G48+Emissions!$H$18*Emissions!H48)*17/14),"",(Emissions!Q100+Emissions!R100+Emissions!S100+Emissions!T100)/(Emissions!$G$18*Emissions!G48+Emissions!$H$18*Emissions!H48)*17/14)</f>
        <v/>
      </c>
      <c r="I33" s="76" t="str">
        <f>IF(ISERROR((Emissions!U100+Emissions!V100)/(Emissions!$I$18*Emissions!I48)*17/14),"",((Emissions!U100+Emissions!V100)/(Emissions!$I$18*Emissions!I48)*17/14))</f>
        <v/>
      </c>
      <c r="J33" s="76" t="str">
        <f>IF(ISERROR((Emissions!O100+Emissions!P100+Emissions!Q100+Emissions!R100+Emissions!S100+Emissions!T100+Emissions!U100+Emissions!V100)/(Emissions!$F$18*Emissions!F48+Emissions!$G$18*Emissions!G48+Emissions!$H$18*Emissions!H48+Emissions!$I$18*Emissions!I48)*17/14),"",(Emissions!O100+Emissions!P100+Emissions!Q100+Emissions!R100+Emissions!S100+Emissions!T100+Emissions!U100+Emissions!V100)/(Emissions!$F$18*Emissions!F48+Emissions!$G$18*Emissions!G48+Emissions!$H$18*Emissions!H48+Emissions!$I$18*Emissions!I48)*17/14)</f>
        <v/>
      </c>
    </row>
    <row r="34" spans="2:10" x14ac:dyDescent="0.35">
      <c r="B34" s="75" t="str">
        <f>IF(Exploitation!B16="","",Exploitation!B16)</f>
        <v/>
      </c>
      <c r="C34" s="76" t="str">
        <f>IF(ISERROR((Emissions!I101+Emissions!J101)/(Emissions!$C$18*Emissions!C49)*17/14),"",((Emissions!I101+Emissions!J101)/(Emissions!$C$18*Emissions!C49)*17/14))</f>
        <v/>
      </c>
      <c r="D34" s="76" t="str">
        <f>IF(ISERROR((Emissions!K101+Emissions!L101)/(Emissions!$D$18*Emissions!D49)*17/14),"",((Emissions!K101+Emissions!L101)/(Emissions!$D$18*Emissions!D49)*17/14))</f>
        <v/>
      </c>
      <c r="E34" s="76" t="str">
        <f>IF(ISERROR((Emissions!M101+Emissions!N101)/(Emissions!$E$18*Emissions!E49)*17/14),"",((Emissions!M101+Emissions!N101)/(Emissions!$E$18*Emissions!E49)*17/14))</f>
        <v/>
      </c>
      <c r="F34" s="76" t="str">
        <f>IF(ISERROR((Emissions!I101+Emissions!J101+Emissions!K101+Emissions!L101+Emissions!M101+Emissions!N101)/(Emissions!$C$18*Emissions!C49+Emissions!$D$18*Emissions!D49+Emissions!$E$18*Emissions!E49)*17/14),"",(Emissions!I101+Emissions!J101+Emissions!K101+Emissions!L101+Emissions!M101+Emissions!N101)/(Emissions!$C$18*Emissions!C49+Emissions!$D$18*Emissions!D49+Emissions!$E$18*Emissions!E49)*17/14)</f>
        <v/>
      </c>
      <c r="G34" s="76" t="str">
        <f>IF(ISERROR((Emissions!O101+Emissions!P101)/(Emissions!$F$18*Emissions!F49)*17/14),"",((Emissions!O101+Emissions!P101)/(Emissions!$F$18*Emissions!F49)*17/14))</f>
        <v/>
      </c>
      <c r="H34" s="76" t="str">
        <f>IF(ISERROR((Emissions!Q101+Emissions!R101+Emissions!S101+Emissions!T101)/(Emissions!$G$18*Emissions!G49+Emissions!$H$18*Emissions!H49)*17/14),"",(Emissions!Q101+Emissions!R101+Emissions!S101+Emissions!T101)/(Emissions!$G$18*Emissions!G49+Emissions!$H$18*Emissions!H49)*17/14)</f>
        <v/>
      </c>
      <c r="I34" s="76" t="str">
        <f>IF(ISERROR((Emissions!U101+Emissions!V101)/(Emissions!$I$18*Emissions!I49)*17/14),"",((Emissions!U101+Emissions!V101)/(Emissions!$I$18*Emissions!I49)*17/14))</f>
        <v/>
      </c>
      <c r="J34" s="76" t="str">
        <f>IF(ISERROR((Emissions!O101+Emissions!P101+Emissions!Q101+Emissions!R101+Emissions!S101+Emissions!T101+Emissions!U101+Emissions!V101)/(Emissions!$F$18*Emissions!F49+Emissions!$G$18*Emissions!G49+Emissions!$H$18*Emissions!H49+Emissions!$I$18*Emissions!I49)*17/14),"",(Emissions!O101+Emissions!P101+Emissions!Q101+Emissions!R101+Emissions!S101+Emissions!T101+Emissions!U101+Emissions!V101)/(Emissions!$F$18*Emissions!F49+Emissions!$G$18*Emissions!G49+Emissions!$H$18*Emissions!H49+Emissions!$I$18*Emissions!I49)*17/14)</f>
        <v/>
      </c>
    </row>
    <row r="35" spans="2:10" x14ac:dyDescent="0.35">
      <c r="B35" s="75" t="str">
        <f>IF(Exploitation!B17="","",Exploitation!B17)</f>
        <v/>
      </c>
      <c r="C35" s="76" t="str">
        <f>IF(ISERROR((Emissions!I102+Emissions!J102)/(Emissions!$C$18*Emissions!C50)*17/14),"",((Emissions!I102+Emissions!J102)/(Emissions!$C$18*Emissions!C50)*17/14))</f>
        <v/>
      </c>
      <c r="D35" s="76" t="str">
        <f>IF(ISERROR((Emissions!K102+Emissions!L102)/(Emissions!$D$18*Emissions!D50)*17/14),"",((Emissions!K102+Emissions!L102)/(Emissions!$D$18*Emissions!D50)*17/14))</f>
        <v/>
      </c>
      <c r="E35" s="76" t="str">
        <f>IF(ISERROR((Emissions!M102+Emissions!N102)/(Emissions!$E$18*Emissions!E50)*17/14),"",((Emissions!M102+Emissions!N102)/(Emissions!$E$18*Emissions!E50)*17/14))</f>
        <v/>
      </c>
      <c r="F35" s="76" t="str">
        <f>IF(ISERROR((Emissions!I102+Emissions!J102+Emissions!K102+Emissions!L102+Emissions!M102+Emissions!N102)/(Emissions!$C$18*Emissions!C50+Emissions!$D$18*Emissions!D50+Emissions!$E$18*Emissions!E50)*17/14),"",(Emissions!I102+Emissions!J102+Emissions!K102+Emissions!L102+Emissions!M102+Emissions!N102)/(Emissions!$C$18*Emissions!C50+Emissions!$D$18*Emissions!D50+Emissions!$E$18*Emissions!E50)*17/14)</f>
        <v/>
      </c>
      <c r="G35" s="353" t="str">
        <f>IF(ISERROR((Emissions!O102+Emissions!P102)/(Emissions!$F$18*Emissions!F50)*17/14),"",((Emissions!O102+Emissions!P102)/(Emissions!$F$18*Emissions!F50)*17/14))</f>
        <v/>
      </c>
      <c r="H35" s="76" t="str">
        <f>IF(ISERROR((Emissions!Q102+Emissions!R102+Emissions!S102+Emissions!T102)/(Emissions!$G$18*Emissions!G50+Emissions!$H$18*Emissions!H50)*17/14),"",(Emissions!Q102+Emissions!R102+Emissions!S102+Emissions!T102)/(Emissions!$G$18*Emissions!G50+Emissions!$H$18*Emissions!H50)*17/14)</f>
        <v/>
      </c>
      <c r="I35" s="76" t="str">
        <f>IF(ISERROR((Emissions!U102+Emissions!V102)/(Emissions!$I$18*Emissions!I50)*17/14),"",((Emissions!U102+Emissions!V102)/(Emissions!$I$18*Emissions!I50)*17/14))</f>
        <v/>
      </c>
      <c r="J35" s="76" t="str">
        <f>IF(ISERROR((Emissions!O102+Emissions!P102+Emissions!Q102+Emissions!R102+Emissions!S102+Emissions!T102+Emissions!U102+Emissions!V102)/(Emissions!$F$18*Emissions!F50+Emissions!$G$18*Emissions!G50+Emissions!$H$18*Emissions!H50+Emissions!$I$18*Emissions!I50)*17/14),"",(Emissions!O102+Emissions!P102+Emissions!Q102+Emissions!R102+Emissions!S102+Emissions!T102+Emissions!U102+Emissions!V102)/(Emissions!$F$18*Emissions!F50+Emissions!$G$18*Emissions!G50+Emissions!$H$18*Emissions!H50+Emissions!$I$18*Emissions!I50)*17/14)</f>
        <v/>
      </c>
    </row>
    <row r="36" spans="2:10" x14ac:dyDescent="0.35">
      <c r="B36" s="75" t="str">
        <f>IF(Exploitation!B18="","",Exploitation!B18)</f>
        <v/>
      </c>
      <c r="C36" s="76" t="str">
        <f>IF(ISERROR((Emissions!I103+Emissions!J103)/(Emissions!$C$18*Emissions!C51)*17/14),"",((Emissions!I103+Emissions!J103)/(Emissions!$C$18*Emissions!C51)*17/14))</f>
        <v/>
      </c>
      <c r="D36" s="76" t="str">
        <f>IF(ISERROR((Emissions!K103+Emissions!L103)/(Emissions!$D$18*Emissions!D51)*17/14),"",((Emissions!K103+Emissions!L103)/(Emissions!$D$18*Emissions!D51)*17/14))</f>
        <v/>
      </c>
      <c r="E36" s="76" t="str">
        <f>IF(ISERROR((Emissions!M103+Emissions!N103)/(Emissions!$E$18*Emissions!E51)*17/14),"",((Emissions!M103+Emissions!N103)/(Emissions!$E$18*Emissions!E51)*17/14))</f>
        <v/>
      </c>
      <c r="F36" s="76" t="str">
        <f>IF(ISERROR((Emissions!I103+Emissions!J103+Emissions!K103+Emissions!L103+Emissions!M103+Emissions!N103)/(Emissions!$C$18*Emissions!C51+Emissions!$D$18*Emissions!D51+Emissions!$E$18*Emissions!E51)*17/14),"",(Emissions!I103+Emissions!J103+Emissions!K103+Emissions!L103+Emissions!M103+Emissions!N103)/(Emissions!$C$18*Emissions!C51+Emissions!$D$18*Emissions!D51+Emissions!$E$18*Emissions!E51)*17/14)</f>
        <v/>
      </c>
      <c r="G36" s="76" t="str">
        <f>IF(ISERROR((Emissions!O103+Emissions!P103)/(Emissions!$F$18*Emissions!F51)*17/14),"",((Emissions!O103+Emissions!P103)/(Emissions!$F$18*Emissions!F51)*17/14))</f>
        <v/>
      </c>
      <c r="H36" s="76" t="str">
        <f>IF(ISERROR((Emissions!Q103+Emissions!R103+Emissions!S103+Emissions!T103)/(Emissions!$G$18*Emissions!G51+Emissions!$H$18*Emissions!H51)*17/14),"",(Emissions!Q103+Emissions!R103+Emissions!S103+Emissions!T103)/(Emissions!$G$18*Emissions!G51+Emissions!$H$18*Emissions!H51)*17/14)</f>
        <v/>
      </c>
      <c r="I36" s="76" t="str">
        <f>IF(ISERROR((Emissions!U103+Emissions!V103)/(Emissions!$I$18*Emissions!I51)*17/14),"",((Emissions!U103+Emissions!V103)/(Emissions!$I$18*Emissions!I51)*17/14))</f>
        <v/>
      </c>
      <c r="J36" s="76" t="str">
        <f>IF(ISERROR((Emissions!O103+Emissions!P103+Emissions!Q103+Emissions!R103+Emissions!S103+Emissions!T103+Emissions!U103+Emissions!V103)/(Emissions!$F$18*Emissions!F51+Emissions!$G$18*Emissions!G51+Emissions!$H$18*Emissions!H51+Emissions!$I$18*Emissions!I51)*17/14),"",(Emissions!O103+Emissions!P103+Emissions!Q103+Emissions!R103+Emissions!S103+Emissions!T103+Emissions!U103+Emissions!V103)/(Emissions!$F$18*Emissions!F51+Emissions!$G$18*Emissions!G51+Emissions!$H$18*Emissions!H51+Emissions!$I$18*Emissions!I51)*17/14)</f>
        <v/>
      </c>
    </row>
    <row r="37" spans="2:10" x14ac:dyDescent="0.35">
      <c r="B37" s="75" t="str">
        <f>IF(Exploitation!B19="","",Exploitation!B19)</f>
        <v/>
      </c>
      <c r="C37" s="76" t="str">
        <f>IF(ISERROR((Emissions!I104+Emissions!J104)/(Emissions!$C$18*Emissions!C52)*17/14),"",((Emissions!I104+Emissions!J104)/(Emissions!$C$18*Emissions!C52)*17/14))</f>
        <v/>
      </c>
      <c r="D37" s="76" t="str">
        <f>IF(ISERROR((Emissions!K104+Emissions!L104)/(Emissions!$D$18*Emissions!D52)*17/14),"",((Emissions!K104+Emissions!L104)/(Emissions!$D$18*Emissions!D52)*17/14))</f>
        <v/>
      </c>
      <c r="E37" s="76" t="str">
        <f>IF(ISERROR((Emissions!M104+Emissions!N104)/(Emissions!$E$18*Emissions!E52)*17/14),"",((Emissions!M104+Emissions!N104)/(Emissions!$E$18*Emissions!E52)*17/14))</f>
        <v/>
      </c>
      <c r="F37" s="76" t="str">
        <f>IF(ISERROR((Emissions!I104+Emissions!J104+Emissions!K104+Emissions!L104+Emissions!M104+Emissions!N104)/(Emissions!$C$18*Emissions!C52+Emissions!$D$18*Emissions!D52+Emissions!$E$18*Emissions!E52)*17/14),"",(Emissions!I104+Emissions!J104+Emissions!K104+Emissions!L104+Emissions!M104+Emissions!N104)/(Emissions!$C$18*Emissions!C52+Emissions!$D$18*Emissions!D52+Emissions!$E$18*Emissions!E52)*17/14)</f>
        <v/>
      </c>
      <c r="G37" s="76" t="str">
        <f>IF(ISERROR((Emissions!O104+Emissions!P104)/(Emissions!$F$18*Emissions!F52)*17/14),"",((Emissions!O104+Emissions!P104)/(Emissions!$F$18*Emissions!F52)*17/14))</f>
        <v/>
      </c>
      <c r="H37" s="76" t="str">
        <f>IF(ISERROR((Emissions!Q104+Emissions!R104+Emissions!S104+Emissions!T104)/(Emissions!$G$18*Emissions!G52+Emissions!$H$18*Emissions!H52)*17/14),"",(Emissions!Q104+Emissions!R104+Emissions!S104+Emissions!T104)/(Emissions!$G$18*Emissions!G52+Emissions!$H$18*Emissions!H52)*17/14)</f>
        <v/>
      </c>
      <c r="I37" s="76" t="str">
        <f>IF(ISERROR((Emissions!U104+Emissions!V104)/(Emissions!$I$18*Emissions!I52)*17/14),"",((Emissions!U104+Emissions!V104)/(Emissions!$I$18*Emissions!I52)*17/14))</f>
        <v/>
      </c>
      <c r="J37" s="76" t="str">
        <f>IF(ISERROR((Emissions!O104+Emissions!P104+Emissions!Q104+Emissions!R104+Emissions!S104+Emissions!T104+Emissions!U104+Emissions!V104)/(Emissions!$F$18*Emissions!F52+Emissions!$G$18*Emissions!G52+Emissions!$H$18*Emissions!H52+Emissions!$I$18*Emissions!I52)*17/14),"",(Emissions!O104+Emissions!P104+Emissions!Q104+Emissions!R104+Emissions!S104+Emissions!T104+Emissions!U104+Emissions!V104)/(Emissions!$F$18*Emissions!F52+Emissions!$G$18*Emissions!G52+Emissions!$H$18*Emissions!H52+Emissions!$I$18*Emissions!I52)*17/14)</f>
        <v/>
      </c>
    </row>
    <row r="38" spans="2:10" x14ac:dyDescent="0.35">
      <c r="B38" s="75" t="str">
        <f>IF(Exploitation!B20="","",Exploitation!B20)</f>
        <v/>
      </c>
      <c r="C38" s="76" t="str">
        <f>IF(ISERROR((Emissions!I105+Emissions!J105)/(Emissions!$C$18*Emissions!C53)*17/14),"",((Emissions!I105+Emissions!J105)/(Emissions!$C$18*Emissions!C53)*17/14))</f>
        <v/>
      </c>
      <c r="D38" s="76" t="str">
        <f>IF(ISERROR((Emissions!K105+Emissions!L105)/(Emissions!$D$18*Emissions!D53)*17/14),"",((Emissions!K105+Emissions!L105)/(Emissions!$D$18*Emissions!D53)*17/14))</f>
        <v/>
      </c>
      <c r="E38" s="76" t="str">
        <f>IF(ISERROR((Emissions!M105+Emissions!N105)/(Emissions!$E$18*Emissions!E53)*17/14),"",((Emissions!M105+Emissions!N105)/(Emissions!$E$18*Emissions!E53)*17/14))</f>
        <v/>
      </c>
      <c r="F38" s="76" t="str">
        <f>IF(ISERROR((Emissions!I105+Emissions!J105+Emissions!K105+Emissions!L105+Emissions!M105+Emissions!N105)/(Emissions!$C$18*Emissions!C53+Emissions!$D$18*Emissions!D53+Emissions!$E$18*Emissions!E53)*17/14),"",(Emissions!I105+Emissions!J105+Emissions!K105+Emissions!L105+Emissions!M105+Emissions!N105)/(Emissions!$C$18*Emissions!C53+Emissions!$D$18*Emissions!D53+Emissions!$E$18*Emissions!E53)*17/14)</f>
        <v/>
      </c>
      <c r="G38" s="76" t="str">
        <f>IF(ISERROR((Emissions!O105+Emissions!P105)/(Emissions!$F$18*Emissions!F53)*17/14),"",((Emissions!O105+Emissions!P105)/(Emissions!$F$18*Emissions!F53)*17/14))</f>
        <v/>
      </c>
      <c r="H38" s="76" t="str">
        <f>IF(ISERROR((Emissions!Q105+Emissions!R105+Emissions!S105+Emissions!T105)/(Emissions!$G$18*Emissions!G53+Emissions!$H$18*Emissions!H53)*17/14),"",(Emissions!Q105+Emissions!R105+Emissions!S105+Emissions!T105)/(Emissions!$G$18*Emissions!G53+Emissions!$H$18*Emissions!H53)*17/14)</f>
        <v/>
      </c>
      <c r="I38" s="76" t="str">
        <f>IF(ISERROR((Emissions!U105+Emissions!V105)/(Emissions!$I$18*Emissions!I53)*17/14),"",((Emissions!U105+Emissions!V105)/(Emissions!$I$18*Emissions!I53)*17/14))</f>
        <v/>
      </c>
      <c r="J38" s="76" t="str">
        <f>IF(ISERROR((Emissions!O105+Emissions!P105+Emissions!Q105+Emissions!R105+Emissions!S105+Emissions!T105+Emissions!U105+Emissions!V105)/(Emissions!$F$18*Emissions!F53+Emissions!$G$18*Emissions!G53+Emissions!$H$18*Emissions!H53+Emissions!$I$18*Emissions!I53)*17/14),"",(Emissions!O105+Emissions!P105+Emissions!Q105+Emissions!R105+Emissions!S105+Emissions!T105+Emissions!U105+Emissions!V105)/(Emissions!$F$18*Emissions!F53+Emissions!$G$18*Emissions!G53+Emissions!$H$18*Emissions!H53+Emissions!$I$18*Emissions!I53)*17/14)</f>
        <v/>
      </c>
    </row>
    <row r="39" spans="2:10" x14ac:dyDescent="0.35">
      <c r="B39" s="75" t="str">
        <f>IF(Exploitation!B21="","",Exploitation!B21)</f>
        <v/>
      </c>
      <c r="C39" s="76" t="str">
        <f>IF(ISERROR((Emissions!I106+Emissions!J106)/(Emissions!$C$18*Emissions!C54)*17/14),"",((Emissions!I106+Emissions!J106)/(Emissions!$C$18*Emissions!C54)*17/14))</f>
        <v/>
      </c>
      <c r="D39" s="76" t="str">
        <f>IF(ISERROR((Emissions!K106+Emissions!L106)/(Emissions!$D$18*Emissions!D54)*17/14),"",((Emissions!K106+Emissions!L106)/(Emissions!$D$18*Emissions!D54)*17/14))</f>
        <v/>
      </c>
      <c r="E39" s="76" t="str">
        <f>IF(ISERROR((Emissions!M106+Emissions!N106)/(Emissions!$E$18*Emissions!E54)*17/14),"",((Emissions!M106+Emissions!N106)/(Emissions!$E$18*Emissions!E54)*17/14))</f>
        <v/>
      </c>
      <c r="F39" s="76" t="str">
        <f>IF(ISERROR((Emissions!I106+Emissions!J106+Emissions!K106+Emissions!L106+Emissions!M106+Emissions!N106)/(Emissions!$C$18*Emissions!C54+Emissions!$D$18*Emissions!D54+Emissions!$E$18*Emissions!E54)*17/14),"",(Emissions!I106+Emissions!J106+Emissions!K106+Emissions!L106+Emissions!M106+Emissions!N106)/(Emissions!$C$18*Emissions!C54+Emissions!$D$18*Emissions!D54+Emissions!$E$18*Emissions!E54)*17/14)</f>
        <v/>
      </c>
      <c r="G39" s="76" t="str">
        <f>IF(ISERROR((Emissions!O106+Emissions!P106)/(Emissions!$F$18*Emissions!F54)*17/14),"",((Emissions!O106+Emissions!P106)/(Emissions!$F$18*Emissions!F54)*17/14))</f>
        <v/>
      </c>
      <c r="H39" s="76" t="str">
        <f>IF(ISERROR((Emissions!Q106+Emissions!R106+Emissions!S106+Emissions!T106)/(Emissions!$G$18*Emissions!G54+Emissions!$H$18*Emissions!H54)*17/14),"",(Emissions!Q106+Emissions!R106+Emissions!S106+Emissions!T106)/(Emissions!$G$18*Emissions!G54+Emissions!$H$18*Emissions!H54)*17/14)</f>
        <v/>
      </c>
      <c r="I39" s="76" t="str">
        <f>IF(ISERROR((Emissions!U106+Emissions!V106)/(Emissions!$I$18*Emissions!I54)*17/14),"",((Emissions!U106+Emissions!V106)/(Emissions!$I$18*Emissions!I54)*17/14))</f>
        <v/>
      </c>
      <c r="J39" s="76" t="str">
        <f>IF(ISERROR((Emissions!O106+Emissions!P106+Emissions!Q106+Emissions!R106+Emissions!S106+Emissions!T106+Emissions!U106+Emissions!V106)/(Emissions!$F$18*Emissions!F54+Emissions!$G$18*Emissions!G54+Emissions!$H$18*Emissions!H54+Emissions!$I$18*Emissions!I54)*17/14),"",(Emissions!O106+Emissions!P106+Emissions!Q106+Emissions!R106+Emissions!S106+Emissions!T106+Emissions!U106+Emissions!V106)/(Emissions!$F$18*Emissions!F54+Emissions!$G$18*Emissions!G54+Emissions!$H$18*Emissions!H54+Emissions!$I$18*Emissions!I54)*17/14)</f>
        <v/>
      </c>
    </row>
    <row r="40" spans="2:10" x14ac:dyDescent="0.35">
      <c r="B40" s="75" t="str">
        <f>IF(Exploitation!B22="","",Exploitation!B22)</f>
        <v/>
      </c>
      <c r="C40" s="76" t="str">
        <f>IF(ISERROR((Emissions!I107+Emissions!J107)/(Emissions!$C$18*Emissions!C55)*17/14),"",((Emissions!I107+Emissions!J107)/(Emissions!$C$18*Emissions!C55)*17/14))</f>
        <v/>
      </c>
      <c r="D40" s="76" t="str">
        <f>IF(ISERROR((Emissions!K107+Emissions!L107)/(Emissions!$D$18*Emissions!D55)*17/14),"",((Emissions!K107+Emissions!L107)/(Emissions!$D$18*Emissions!D55)*17/14))</f>
        <v/>
      </c>
      <c r="E40" s="76" t="str">
        <f>IF(ISERROR((Emissions!M107+Emissions!N107)/(Emissions!$E$18*Emissions!E55)*17/14),"",((Emissions!M107+Emissions!N107)/(Emissions!$E$18*Emissions!E55)*17/14))</f>
        <v/>
      </c>
      <c r="F40" s="76" t="str">
        <f>IF(ISERROR((Emissions!I107+Emissions!J107+Emissions!K107+Emissions!L107+Emissions!M107+Emissions!N107)/(Emissions!$C$18*Emissions!C55+Emissions!$D$18*Emissions!D55+Emissions!$E$18*Emissions!E55)*17/14),"",(Emissions!I107+Emissions!J107+Emissions!K107+Emissions!L107+Emissions!M107+Emissions!N107)/(Emissions!$C$18*Emissions!C55+Emissions!$D$18*Emissions!D55+Emissions!$E$18*Emissions!E55)*17/14)</f>
        <v/>
      </c>
      <c r="G40" s="76" t="str">
        <f>IF(ISERROR((Emissions!O107+Emissions!P107)/(Emissions!$F$18*Emissions!F55)*17/14),"",((Emissions!O107+Emissions!P107)/(Emissions!$F$18*Emissions!F55)*17/14))</f>
        <v/>
      </c>
      <c r="H40" s="76" t="str">
        <f>IF(ISERROR((Emissions!Q107+Emissions!R107+Emissions!S107+Emissions!T107)/(Emissions!$G$18*Emissions!G55+Emissions!$H$18*Emissions!H55)*17/14),"",(Emissions!Q107+Emissions!R107+Emissions!S107+Emissions!T107)/(Emissions!$G$18*Emissions!G55+Emissions!$H$18*Emissions!H55)*17/14)</f>
        <v/>
      </c>
      <c r="I40" s="76" t="str">
        <f>IF(ISERROR((Emissions!U107+Emissions!V107)/(Emissions!$I$18*Emissions!I55)*17/14),"",((Emissions!U107+Emissions!V107)/(Emissions!$I$18*Emissions!I55)*17/14))</f>
        <v/>
      </c>
      <c r="J40" s="76" t="str">
        <f>IF(ISERROR((Emissions!O107+Emissions!P107+Emissions!Q107+Emissions!R107+Emissions!S107+Emissions!T107+Emissions!U107+Emissions!V107)/(Emissions!$F$18*Emissions!F55+Emissions!$G$18*Emissions!G55+Emissions!$H$18*Emissions!H55+Emissions!$I$18*Emissions!I55)*17/14),"",(Emissions!O107+Emissions!P107+Emissions!Q107+Emissions!R107+Emissions!S107+Emissions!T107+Emissions!U107+Emissions!V107)/(Emissions!$F$18*Emissions!F55+Emissions!$G$18*Emissions!G55+Emissions!$H$18*Emissions!H55+Emissions!$I$18*Emissions!I55)*17/14)</f>
        <v/>
      </c>
    </row>
    <row r="41" spans="2:10" x14ac:dyDescent="0.35">
      <c r="B41" s="75" t="str">
        <f>IF(Exploitation!B23="","",Exploitation!B23)</f>
        <v/>
      </c>
      <c r="C41" s="76" t="str">
        <f>IF(ISERROR((Emissions!I108+Emissions!J108)/(Emissions!$C$18*Emissions!C56)*17/14),"",((Emissions!I108+Emissions!J108)/(Emissions!$C$18*Emissions!C56)*17/14))</f>
        <v/>
      </c>
      <c r="D41" s="76" t="str">
        <f>IF(ISERROR((Emissions!K108+Emissions!L108)/(Emissions!$D$18*Emissions!D56)*17/14),"",((Emissions!K108+Emissions!L108)/(Emissions!$D$18*Emissions!D56)*17/14))</f>
        <v/>
      </c>
      <c r="E41" s="76" t="str">
        <f>IF(ISERROR((Emissions!M108+Emissions!N108)/(Emissions!$E$18*Emissions!E56)*17/14),"",((Emissions!M108+Emissions!N108)/(Emissions!$E$18*Emissions!E56)*17/14))</f>
        <v/>
      </c>
      <c r="F41" s="76" t="str">
        <f>IF(ISERROR((Emissions!I108+Emissions!J108+Emissions!K108+Emissions!L108+Emissions!M108+Emissions!N108)/(Emissions!$C$18*Emissions!C56+Emissions!$D$18*Emissions!D56+Emissions!$E$18*Emissions!E56)*17/14),"",(Emissions!I108+Emissions!J108+Emissions!K108+Emissions!L108+Emissions!M108+Emissions!N108)/(Emissions!$C$18*Emissions!C56+Emissions!$D$18*Emissions!D56+Emissions!$E$18*Emissions!E56)*17/14)</f>
        <v/>
      </c>
      <c r="G41" s="76" t="str">
        <f>IF(ISERROR((Emissions!O108+Emissions!P108)/(Emissions!$F$18*Emissions!F56)*17/14),"",((Emissions!O108+Emissions!P108)/(Emissions!$F$18*Emissions!F56)*17/14))</f>
        <v/>
      </c>
      <c r="H41" s="76" t="str">
        <f>IF(ISERROR((Emissions!Q108+Emissions!R108+Emissions!S108+Emissions!T108)/(Emissions!$G$18*Emissions!G56+Emissions!$H$18*Emissions!H56)*17/14),"",(Emissions!Q108+Emissions!R108+Emissions!S108+Emissions!T108)/(Emissions!$G$18*Emissions!G56+Emissions!$H$18*Emissions!H56)*17/14)</f>
        <v/>
      </c>
      <c r="I41" s="76" t="str">
        <f>IF(ISERROR((Emissions!U108+Emissions!V108)/(Emissions!$I$18*Emissions!I56)*17/14),"",((Emissions!U108+Emissions!V108)/(Emissions!$I$18*Emissions!I56)*17/14))</f>
        <v/>
      </c>
      <c r="J41" s="76" t="str">
        <f>IF(ISERROR((Emissions!O108+Emissions!P108+Emissions!Q108+Emissions!R108+Emissions!S108+Emissions!T108+Emissions!U108+Emissions!V108)/(Emissions!$F$18*Emissions!F56+Emissions!$G$18*Emissions!G56+Emissions!$H$18*Emissions!H56+Emissions!$I$18*Emissions!I56)*17/14),"",(Emissions!O108+Emissions!P108+Emissions!Q108+Emissions!R108+Emissions!S108+Emissions!T108+Emissions!U108+Emissions!V108)/(Emissions!$F$18*Emissions!F56+Emissions!$G$18*Emissions!G56+Emissions!$H$18*Emissions!H56+Emissions!$I$18*Emissions!I56)*17/14)</f>
        <v/>
      </c>
    </row>
    <row r="42" spans="2:10" x14ac:dyDescent="0.35">
      <c r="B42" s="75" t="str">
        <f>IF(Exploitation!B24="","",Exploitation!B24)</f>
        <v/>
      </c>
      <c r="C42" s="76" t="str">
        <f>IF(ISERROR((Emissions!I109+Emissions!J109)/(Emissions!$C$18*Emissions!C57)*17/14),"",((Emissions!I109+Emissions!J109)/(Emissions!$C$18*Emissions!C57)*17/14))</f>
        <v/>
      </c>
      <c r="D42" s="76" t="str">
        <f>IF(ISERROR((Emissions!K109+Emissions!L109)/(Emissions!$D$18*Emissions!D57)*17/14),"",((Emissions!K109+Emissions!L109)/(Emissions!$D$18*Emissions!D57)*17/14))</f>
        <v/>
      </c>
      <c r="E42" s="76" t="str">
        <f>IF(ISERROR((Emissions!M109+Emissions!N109)/(Emissions!$E$18*Emissions!E57)*17/14),"",((Emissions!M109+Emissions!N109)/(Emissions!$E$18*Emissions!E57)*17/14))</f>
        <v/>
      </c>
      <c r="F42" s="76" t="str">
        <f>IF(ISERROR((Emissions!I109+Emissions!J109+Emissions!K109+Emissions!L109+Emissions!M109+Emissions!N109)/(Emissions!$C$18*Emissions!C57+Emissions!$D$18*Emissions!D57+Emissions!$E$18*Emissions!E57)*17/14),"",(Emissions!I109+Emissions!J109+Emissions!K109+Emissions!L109+Emissions!M109+Emissions!N109)/(Emissions!$C$18*Emissions!C57+Emissions!$D$18*Emissions!D57+Emissions!$E$18*Emissions!E57)*17/14)</f>
        <v/>
      </c>
      <c r="G42" s="76" t="str">
        <f>IF(ISERROR((Emissions!O109+Emissions!P109)/(Emissions!$F$18*Emissions!F57)*17/14),"",((Emissions!O109+Emissions!P109)/(Emissions!$F$18*Emissions!F57)*17/14))</f>
        <v/>
      </c>
      <c r="H42" s="76" t="str">
        <f>IF(ISERROR((Emissions!Q109+Emissions!R109+Emissions!S109+Emissions!T109)/(Emissions!$G$18*Emissions!G57+Emissions!$H$18*Emissions!H57)*17/14),"",(Emissions!Q109+Emissions!R109+Emissions!S109+Emissions!T109)/(Emissions!$G$18*Emissions!G57+Emissions!$H$18*Emissions!H57)*17/14)</f>
        <v/>
      </c>
      <c r="I42" s="76" t="str">
        <f>IF(ISERROR((Emissions!U109+Emissions!V109)/(Emissions!$I$18*Emissions!I57)*17/14),"",((Emissions!U109+Emissions!V109)/(Emissions!$I$18*Emissions!I57)*17/14))</f>
        <v/>
      </c>
      <c r="J42" s="76" t="str">
        <f>IF(ISERROR((Emissions!O109+Emissions!P109+Emissions!Q109+Emissions!R109+Emissions!S109+Emissions!T109+Emissions!U109+Emissions!V109)/(Emissions!$F$18*Emissions!F57+Emissions!$G$18*Emissions!G57+Emissions!$H$18*Emissions!H57+Emissions!$I$18*Emissions!I57)*17/14),"",(Emissions!O109+Emissions!P109+Emissions!Q109+Emissions!R109+Emissions!S109+Emissions!T109+Emissions!U109+Emissions!V109)/(Emissions!$F$18*Emissions!F57+Emissions!$G$18*Emissions!G57+Emissions!$H$18*Emissions!H57+Emissions!$I$18*Emissions!I57)*17/14)</f>
        <v/>
      </c>
    </row>
    <row r="43" spans="2:10" x14ac:dyDescent="0.35">
      <c r="B43" s="75" t="str">
        <f>IF(Exploitation!B25="","",Exploitation!B25)</f>
        <v/>
      </c>
      <c r="C43" s="76" t="str">
        <f>IF(ISERROR((Emissions!I110+Emissions!J110)/(Emissions!$C$18*Emissions!C58)*17/14),"",((Emissions!I110+Emissions!J110)/(Emissions!$C$18*Emissions!C58)*17/14))</f>
        <v/>
      </c>
      <c r="D43" s="76" t="str">
        <f>IF(ISERROR((Emissions!K110+Emissions!L110)/(Emissions!$D$18*Emissions!D58)*17/14),"",((Emissions!K110+Emissions!L110)/(Emissions!$D$18*Emissions!D58)*17/14))</f>
        <v/>
      </c>
      <c r="E43" s="76" t="str">
        <f>IF(ISERROR((Emissions!M110+Emissions!N110)/(Emissions!$E$18*Emissions!E58)*17/14),"",((Emissions!M110+Emissions!N110)/(Emissions!$E$18*Emissions!E58)*17/14))</f>
        <v/>
      </c>
      <c r="F43" s="76" t="str">
        <f>IF(ISERROR((Emissions!I110+Emissions!J110+Emissions!K110+Emissions!L110+Emissions!M110+Emissions!N110)/(Emissions!$C$18*Emissions!C58+Emissions!$D$18*Emissions!D58+Emissions!$E$18*Emissions!E58)*17/14),"",(Emissions!I110+Emissions!J110+Emissions!K110+Emissions!L110+Emissions!M110+Emissions!N110)/(Emissions!$C$18*Emissions!C58+Emissions!$D$18*Emissions!D58+Emissions!$E$18*Emissions!E58)*17/14)</f>
        <v/>
      </c>
      <c r="G43" s="76" t="str">
        <f>IF(ISERROR((Emissions!O110+Emissions!P110)/(Emissions!$F$18*Emissions!F58)*17/14),"",((Emissions!O110+Emissions!P110)/(Emissions!$F$18*Emissions!F58)*17/14))</f>
        <v/>
      </c>
      <c r="H43" s="76" t="str">
        <f>IF(ISERROR((Emissions!Q110+Emissions!R110+Emissions!S110+Emissions!T110)/(Emissions!$G$18*Emissions!G58+Emissions!$H$18*Emissions!H58)*17/14),"",(Emissions!Q110+Emissions!R110+Emissions!S110+Emissions!T110)/(Emissions!$G$18*Emissions!G58+Emissions!$H$18*Emissions!H58)*17/14)</f>
        <v/>
      </c>
      <c r="I43" s="76" t="str">
        <f>IF(ISERROR((Emissions!U110+Emissions!V110)/(Emissions!$I$18*Emissions!I58)*17/14),"",((Emissions!U110+Emissions!V110)/(Emissions!$I$18*Emissions!I58)*17/14))</f>
        <v/>
      </c>
      <c r="J43" s="76" t="str">
        <f>IF(ISERROR((Emissions!O110+Emissions!P110+Emissions!Q110+Emissions!R110+Emissions!S110+Emissions!T110+Emissions!U110+Emissions!V110)/(Emissions!$F$18*Emissions!F58+Emissions!$G$18*Emissions!G58+Emissions!$H$18*Emissions!H58+Emissions!$I$18*Emissions!I58)*17/14),"",(Emissions!O110+Emissions!P110+Emissions!Q110+Emissions!R110+Emissions!S110+Emissions!T110+Emissions!U110+Emissions!V110)/(Emissions!$F$18*Emissions!F58+Emissions!$G$18*Emissions!G58+Emissions!$H$18*Emissions!H58+Emissions!$I$18*Emissions!I58)*17/14)</f>
        <v/>
      </c>
    </row>
    <row r="44" spans="2:10" x14ac:dyDescent="0.35">
      <c r="B44" s="75" t="str">
        <f>IF(Exploitation!B26="","",Exploitation!B26)</f>
        <v/>
      </c>
      <c r="C44" s="76" t="str">
        <f>IF(ISERROR((Emissions!I111+Emissions!J111)/(Emissions!$C$18*Emissions!C59)*17/14),"",((Emissions!I111+Emissions!J111)/(Emissions!$C$18*Emissions!C59)*17/14))</f>
        <v/>
      </c>
      <c r="D44" s="76" t="str">
        <f>IF(ISERROR((Emissions!K111+Emissions!L111)/(Emissions!$D$18*Emissions!D59)*17/14),"",((Emissions!K111+Emissions!L111)/(Emissions!$D$18*Emissions!D59)*17/14))</f>
        <v/>
      </c>
      <c r="E44" s="76" t="str">
        <f>IF(ISERROR((Emissions!M111+Emissions!N111)/(Emissions!$E$18*Emissions!E59)*17/14),"",((Emissions!M111+Emissions!N111)/(Emissions!$E$18*Emissions!E59)*17/14))</f>
        <v/>
      </c>
      <c r="F44" s="76" t="str">
        <f>IF(ISERROR((Emissions!I111+Emissions!J111+Emissions!K111+Emissions!L111+Emissions!M111+Emissions!N111)/(Emissions!$C$18*Emissions!C59+Emissions!$D$18*Emissions!D59+Emissions!$E$18*Emissions!E59)*17/14),"",(Emissions!I111+Emissions!J111+Emissions!K111+Emissions!L111+Emissions!M111+Emissions!N111)/(Emissions!$C$18*Emissions!C59+Emissions!$D$18*Emissions!D59+Emissions!$E$18*Emissions!E59)*17/14)</f>
        <v/>
      </c>
      <c r="G44" s="76" t="str">
        <f>IF(ISERROR((Emissions!O111+Emissions!P111)/(Emissions!$F$18*Emissions!F59)*17/14),"",((Emissions!O111+Emissions!P111)/(Emissions!$F$18*Emissions!F59)*17/14))</f>
        <v/>
      </c>
      <c r="H44" s="76" t="str">
        <f>IF(ISERROR((Emissions!Q111+Emissions!R111+Emissions!S111+Emissions!T111)/(Emissions!$G$18*Emissions!G59+Emissions!$H$18*Emissions!H59)*17/14),"",(Emissions!Q111+Emissions!R111+Emissions!S111+Emissions!T111)/(Emissions!$G$18*Emissions!G59+Emissions!$H$18*Emissions!H59)*17/14)</f>
        <v/>
      </c>
      <c r="I44" s="76" t="str">
        <f>IF(ISERROR((Emissions!U111+Emissions!V111)/(Emissions!$I$18*Emissions!I59)*17/14),"",((Emissions!U111+Emissions!V111)/(Emissions!$I$18*Emissions!I59)*17/14))</f>
        <v/>
      </c>
      <c r="J44" s="76" t="str">
        <f>IF(ISERROR((Emissions!O111+Emissions!P111+Emissions!Q111+Emissions!R111+Emissions!S111+Emissions!T111+Emissions!U111+Emissions!V111)/(Emissions!$F$18*Emissions!F59+Emissions!$G$18*Emissions!G59+Emissions!$H$18*Emissions!H59+Emissions!$I$18*Emissions!I59)*17/14),"",(Emissions!O111+Emissions!P111+Emissions!Q111+Emissions!R111+Emissions!S111+Emissions!T111+Emissions!U111+Emissions!V111)/(Emissions!$F$18*Emissions!F59+Emissions!$G$18*Emissions!G59+Emissions!$H$18*Emissions!H59+Emissions!$I$18*Emissions!I59)*17/14)</f>
        <v/>
      </c>
    </row>
    <row r="45" spans="2:10" x14ac:dyDescent="0.35">
      <c r="B45" s="75" t="str">
        <f>IF(Exploitation!B27="","",Exploitation!B27)</f>
        <v/>
      </c>
      <c r="C45" s="76" t="str">
        <f>IF(ISERROR((Emissions!I112+Emissions!J112)/(Emissions!$C$18*Emissions!C60)*17/14),"",((Emissions!I112+Emissions!J112)/(Emissions!$C$18*Emissions!C60)*17/14))</f>
        <v/>
      </c>
      <c r="D45" s="76" t="str">
        <f>IF(ISERROR((Emissions!K112+Emissions!L112)/(Emissions!$D$18*Emissions!D60)*17/14),"",((Emissions!K112+Emissions!L112)/(Emissions!$D$18*Emissions!D60)*17/14))</f>
        <v/>
      </c>
      <c r="E45" s="76" t="str">
        <f>IF(ISERROR((Emissions!M112+Emissions!N112)/(Emissions!$E$18*Emissions!E60)*17/14),"",((Emissions!M112+Emissions!N112)/(Emissions!$E$18*Emissions!E60)*17/14))</f>
        <v/>
      </c>
      <c r="F45" s="76" t="str">
        <f>IF(ISERROR((Emissions!I112+Emissions!J112+Emissions!K112+Emissions!L112+Emissions!M112+Emissions!N112)/(Emissions!$C$18*Emissions!C60+Emissions!$D$18*Emissions!D60+Emissions!$E$18*Emissions!E60)*17/14),"",(Emissions!I112+Emissions!J112+Emissions!K112+Emissions!L112+Emissions!M112+Emissions!N112)/(Emissions!$C$18*Emissions!C60+Emissions!$D$18*Emissions!D60+Emissions!$E$18*Emissions!E60)*17/14)</f>
        <v/>
      </c>
      <c r="G45" s="76" t="str">
        <f>IF(ISERROR((Emissions!O112+Emissions!P112)/(Emissions!$F$18*Emissions!F60)*17/14),"",((Emissions!O112+Emissions!P112)/(Emissions!$F$18*Emissions!F60)*17/14))</f>
        <v/>
      </c>
      <c r="H45" s="76" t="str">
        <f>IF(ISERROR((Emissions!Q112+Emissions!R112+Emissions!S112+Emissions!T112)/(Emissions!$G$18*Emissions!G60+Emissions!$H$18*Emissions!H60)*17/14),"",(Emissions!Q112+Emissions!R112+Emissions!S112+Emissions!T112)/(Emissions!$G$18*Emissions!G60+Emissions!$H$18*Emissions!H60)*17/14)</f>
        <v/>
      </c>
      <c r="I45" s="76" t="str">
        <f>IF(ISERROR((Emissions!U112+Emissions!V112)/(Emissions!$I$18*Emissions!I60)*17/14),"",((Emissions!U112+Emissions!V112)/(Emissions!$I$18*Emissions!I60)*17/14))</f>
        <v/>
      </c>
      <c r="J45" s="76" t="str">
        <f>IF(ISERROR((Emissions!O112+Emissions!P112+Emissions!Q112+Emissions!R112+Emissions!S112+Emissions!T112+Emissions!U112+Emissions!V112)/(Emissions!$F$18*Emissions!F60+Emissions!$G$18*Emissions!G60+Emissions!$H$18*Emissions!H60+Emissions!$I$18*Emissions!I60)*17/14),"",(Emissions!O112+Emissions!P112+Emissions!Q112+Emissions!R112+Emissions!S112+Emissions!T112+Emissions!U112+Emissions!V112)/(Emissions!$F$18*Emissions!F60+Emissions!$G$18*Emissions!G60+Emissions!$H$18*Emissions!H60+Emissions!$I$18*Emissions!I60)*17/14)</f>
        <v/>
      </c>
    </row>
    <row r="46" spans="2:10" x14ac:dyDescent="0.35">
      <c r="B46" s="75" t="str">
        <f>IF(Exploitation!B28="","",Exploitation!B28)</f>
        <v/>
      </c>
      <c r="C46" s="76" t="str">
        <f>IF(ISERROR((Emissions!I113+Emissions!J113)/(Emissions!$C$18*Emissions!C61)*17/14),"",((Emissions!I113+Emissions!J113)/(Emissions!$C$18*Emissions!C61)*17/14))</f>
        <v/>
      </c>
      <c r="D46" s="76" t="str">
        <f>IF(ISERROR((Emissions!K113+Emissions!L113)/(Emissions!$D$18*Emissions!D61)*17/14),"",((Emissions!K113+Emissions!L113)/(Emissions!$D$18*Emissions!D61)*17/14))</f>
        <v/>
      </c>
      <c r="E46" s="76" t="str">
        <f>IF(ISERROR((Emissions!M113+Emissions!N113)/(Emissions!$E$18*Emissions!E61)*17/14),"",((Emissions!M113+Emissions!N113)/(Emissions!$E$18*Emissions!E61)*17/14))</f>
        <v/>
      </c>
      <c r="F46" s="76" t="str">
        <f>IF(ISERROR((Emissions!I113+Emissions!J113+Emissions!K113+Emissions!L113+Emissions!M113+Emissions!N113)/(Emissions!$C$18*Emissions!C61+Emissions!$D$18*Emissions!D61+Emissions!$E$18*Emissions!E61)*17/14),"",(Emissions!I113+Emissions!J113+Emissions!K113+Emissions!L113+Emissions!M113+Emissions!N113)/(Emissions!$C$18*Emissions!C61+Emissions!$D$18*Emissions!D61+Emissions!$E$18*Emissions!E61)*17/14)</f>
        <v/>
      </c>
      <c r="G46" s="76" t="str">
        <f>IF(ISERROR((Emissions!O113+Emissions!P113)/(Emissions!$F$18*Emissions!F61)*17/14),"",((Emissions!O113+Emissions!P113)/(Emissions!$F$18*Emissions!F61)*17/14))</f>
        <v/>
      </c>
      <c r="H46" s="76" t="str">
        <f>IF(ISERROR((Emissions!Q113+Emissions!R113+Emissions!S113+Emissions!T113)/(Emissions!$G$18*Emissions!G61+Emissions!$H$18*Emissions!H61)*17/14),"",(Emissions!Q113+Emissions!R113+Emissions!S113+Emissions!T113)/(Emissions!$G$18*Emissions!G61+Emissions!$H$18*Emissions!H61)*17/14)</f>
        <v/>
      </c>
      <c r="I46" s="76" t="str">
        <f>IF(ISERROR((Emissions!U113+Emissions!V113)/(Emissions!$I$18*Emissions!I61)*17/14),"",((Emissions!U113+Emissions!V113)/(Emissions!$I$18*Emissions!I61)*17/14))</f>
        <v/>
      </c>
      <c r="J46" s="76" t="str">
        <f>IF(ISERROR((Emissions!O113+Emissions!P113+Emissions!Q113+Emissions!R113+Emissions!S113+Emissions!T113+Emissions!U113+Emissions!V113)/(Emissions!$F$18*Emissions!F61+Emissions!$G$18*Emissions!G61+Emissions!$H$18*Emissions!H61+Emissions!$I$18*Emissions!I61)*17/14),"",(Emissions!O113+Emissions!P113+Emissions!Q113+Emissions!R113+Emissions!S113+Emissions!T113+Emissions!U113+Emissions!V113)/(Emissions!$F$18*Emissions!F61+Emissions!$G$18*Emissions!G61+Emissions!$H$18*Emissions!H61+Emissions!$I$18*Emissions!I61)*17/14)</f>
        <v/>
      </c>
    </row>
    <row r="47" spans="2:10" x14ac:dyDescent="0.35">
      <c r="B47" s="75" t="str">
        <f>IF(Exploitation!B29="","",Exploitation!B29)</f>
        <v/>
      </c>
      <c r="C47" s="76" t="str">
        <f>IF(ISERROR((Emissions!I114+Emissions!J114)/(Emissions!$C$18*Emissions!C62)*17/14),"",((Emissions!I114+Emissions!J114)/(Emissions!$C$18*Emissions!C62)*17/14))</f>
        <v/>
      </c>
      <c r="D47" s="76" t="str">
        <f>IF(ISERROR((Emissions!K114+Emissions!L114)/(Emissions!$D$18*Emissions!D62)*17/14),"",((Emissions!K114+Emissions!L114)/(Emissions!$D$18*Emissions!D62)*17/14))</f>
        <v/>
      </c>
      <c r="E47" s="76" t="str">
        <f>IF(ISERROR((Emissions!M114+Emissions!N114)/(Emissions!$E$18*Emissions!E62)*17/14),"",((Emissions!M114+Emissions!N114)/(Emissions!$E$18*Emissions!E62)*17/14))</f>
        <v/>
      </c>
      <c r="F47" s="76" t="str">
        <f>IF(ISERROR((Emissions!I114+Emissions!J114+Emissions!K114+Emissions!L114+Emissions!M114+Emissions!N114)/(Emissions!$C$18*Emissions!C62+Emissions!$D$18*Emissions!D62+Emissions!$E$18*Emissions!E62)*17/14),"",(Emissions!I114+Emissions!J114+Emissions!K114+Emissions!L114+Emissions!M114+Emissions!N114)/(Emissions!$C$18*Emissions!C62+Emissions!$D$18*Emissions!D62+Emissions!$E$18*Emissions!E62)*17/14)</f>
        <v/>
      </c>
      <c r="G47" s="76" t="str">
        <f>IF(ISERROR((Emissions!O114+Emissions!P114)/(Emissions!$F$18*Emissions!F62)*17/14),"",((Emissions!O114+Emissions!P114)/(Emissions!$F$18*Emissions!F62)*17/14))</f>
        <v/>
      </c>
      <c r="H47" s="76" t="str">
        <f>IF(ISERROR((Emissions!Q114+Emissions!R114+Emissions!S114+Emissions!T114)/(Emissions!$G$18*Emissions!G62+Emissions!$H$18*Emissions!H62)*17/14),"",(Emissions!Q114+Emissions!R114+Emissions!S114+Emissions!T114)/(Emissions!$G$18*Emissions!G62+Emissions!$H$18*Emissions!H62)*17/14)</f>
        <v/>
      </c>
      <c r="I47" s="76" t="str">
        <f>IF(ISERROR((Emissions!U114+Emissions!V114)/(Emissions!$I$18*Emissions!I62)*17/14),"",((Emissions!U114+Emissions!V114)/(Emissions!$I$18*Emissions!I62)*17/14))</f>
        <v/>
      </c>
      <c r="J47" s="76" t="str">
        <f>IF(ISERROR((Emissions!O114+Emissions!P114+Emissions!Q114+Emissions!R114+Emissions!S114+Emissions!T114+Emissions!U114+Emissions!V114)/(Emissions!$F$18*Emissions!F62+Emissions!$G$18*Emissions!G62+Emissions!$H$18*Emissions!H62+Emissions!$I$18*Emissions!I62)*17/14),"",(Emissions!O114+Emissions!P114+Emissions!Q114+Emissions!R114+Emissions!S114+Emissions!T114+Emissions!U114+Emissions!V114)/(Emissions!$F$18*Emissions!F62+Emissions!$G$18*Emissions!G62+Emissions!$H$18*Emissions!H62+Emissions!$I$18*Emissions!I62)*17/14)</f>
        <v/>
      </c>
    </row>
    <row r="48" spans="2:10" x14ac:dyDescent="0.35">
      <c r="B48" s="75" t="str">
        <f>IF(Exploitation!B30="","",Exploitation!B30)</f>
        <v/>
      </c>
      <c r="C48" s="76" t="str">
        <f>IF(ISERROR((Emissions!I115+Emissions!J115)/(Emissions!$C$18*Emissions!C63)*17/14),"",((Emissions!I115+Emissions!J115)/(Emissions!$C$18*Emissions!C63)*17/14))</f>
        <v/>
      </c>
      <c r="D48" s="76" t="str">
        <f>IF(ISERROR((Emissions!K115+Emissions!L115)/(Emissions!$D$18*Emissions!D63)*17/14),"",((Emissions!K115+Emissions!L115)/(Emissions!$D$18*Emissions!D63)*17/14))</f>
        <v/>
      </c>
      <c r="E48" s="76" t="str">
        <f>IF(ISERROR((Emissions!M115+Emissions!N115)/(Emissions!$E$18*Emissions!E63)*17/14),"",((Emissions!M115+Emissions!N115)/(Emissions!$E$18*Emissions!E63)*17/14))</f>
        <v/>
      </c>
      <c r="F48" s="76" t="str">
        <f>IF(ISERROR((Emissions!I115+Emissions!J115+Emissions!K115+Emissions!L115+Emissions!M115+Emissions!N115)/(Emissions!$C$18*Emissions!C63+Emissions!$D$18*Emissions!D63+Emissions!$E$18*Emissions!E63)*17/14),"",(Emissions!I115+Emissions!J115+Emissions!K115+Emissions!L115+Emissions!M115+Emissions!N115)/(Emissions!$C$18*Emissions!C63+Emissions!$D$18*Emissions!D63+Emissions!$E$18*Emissions!E63)*17/14)</f>
        <v/>
      </c>
      <c r="G48" s="76" t="str">
        <f>IF(ISERROR((Emissions!O115+Emissions!P115)/(Emissions!$F$18*Emissions!F63)*17/14),"",((Emissions!O115+Emissions!P115)/(Emissions!$F$18*Emissions!F63)*17/14))</f>
        <v/>
      </c>
      <c r="H48" s="76" t="str">
        <f>IF(ISERROR((Emissions!Q115+Emissions!R115+Emissions!S115+Emissions!T115)/(Emissions!$G$18*Emissions!G63+Emissions!$H$18*Emissions!H63)*17/14),"",(Emissions!Q115+Emissions!R115+Emissions!S115+Emissions!T115)/(Emissions!$G$18*Emissions!G63+Emissions!$H$18*Emissions!H63)*17/14)</f>
        <v/>
      </c>
      <c r="I48" s="76" t="str">
        <f>IF(ISERROR((Emissions!U115+Emissions!V115)/(Emissions!$I$18*Emissions!I63)*17/14),"",((Emissions!U115+Emissions!V115)/(Emissions!$I$18*Emissions!I63)*17/14))</f>
        <v/>
      </c>
      <c r="J48" s="76" t="str">
        <f>IF(ISERROR((Emissions!O115+Emissions!P115+Emissions!Q115+Emissions!R115+Emissions!S115+Emissions!T115+Emissions!U115+Emissions!V115)/(Emissions!$F$18*Emissions!F63+Emissions!$G$18*Emissions!G63+Emissions!$H$18*Emissions!H63+Emissions!$I$18*Emissions!I63)*17/14),"",(Emissions!O115+Emissions!P115+Emissions!Q115+Emissions!R115+Emissions!S115+Emissions!T115+Emissions!U115+Emissions!V115)/(Emissions!$F$18*Emissions!F63+Emissions!$G$18*Emissions!G63+Emissions!$H$18*Emissions!H63+Emissions!$I$18*Emissions!I63)*17/14)</f>
        <v/>
      </c>
    </row>
    <row r="49" spans="1:19" x14ac:dyDescent="0.35">
      <c r="B49" s="75" t="str">
        <f>IF(Exploitation!B31="","",Exploitation!B31)</f>
        <v/>
      </c>
      <c r="C49" s="76" t="str">
        <f>IF(ISERROR((Emissions!I116+Emissions!J116)/(Emissions!$C$18*Emissions!C64)*17/14),"",((Emissions!I116+Emissions!J116)/(Emissions!$C$18*Emissions!C64)*17/14))</f>
        <v/>
      </c>
      <c r="D49" s="76" t="str">
        <f>IF(ISERROR((Emissions!K116+Emissions!L116)/(Emissions!$D$18*Emissions!D64)*17/14),"",((Emissions!K116+Emissions!L116)/(Emissions!$D$18*Emissions!D64)*17/14))</f>
        <v/>
      </c>
      <c r="E49" s="76" t="str">
        <f>IF(ISERROR((Emissions!M116+Emissions!N116)/(Emissions!$E$18*Emissions!E64)*17/14),"",((Emissions!M116+Emissions!N116)/(Emissions!$E$18*Emissions!E64)*17/14))</f>
        <v/>
      </c>
      <c r="F49" s="76" t="str">
        <f>IF(ISERROR((Emissions!I116+Emissions!J116+Emissions!K116+Emissions!L116+Emissions!M116+Emissions!N116)/(Emissions!$C$18*Emissions!C64+Emissions!$D$18*Emissions!D64+Emissions!$E$18*Emissions!E64)*17/14),"",(Emissions!I116+Emissions!J116+Emissions!K116+Emissions!L116+Emissions!M116+Emissions!N116)/(Emissions!$C$18*Emissions!C64+Emissions!$D$18*Emissions!D64+Emissions!$E$18*Emissions!E64)*17/14)</f>
        <v/>
      </c>
      <c r="G49" s="76" t="str">
        <f>IF(ISERROR((Emissions!O116+Emissions!P116)/(Emissions!$F$18*Emissions!F64)*17/14),"",((Emissions!O116+Emissions!P116)/(Emissions!$F$18*Emissions!F64)*17/14))</f>
        <v/>
      </c>
      <c r="H49" s="76" t="str">
        <f>IF(ISERROR((Emissions!Q116+Emissions!R116+Emissions!S116+Emissions!T116)/(Emissions!$G$18*Emissions!G64+Emissions!$H$18*Emissions!H64)*17/14),"",(Emissions!Q116+Emissions!R116+Emissions!S116+Emissions!T116)/(Emissions!$G$18*Emissions!G64+Emissions!$H$18*Emissions!H64)*17/14)</f>
        <v/>
      </c>
      <c r="I49" s="76" t="str">
        <f>IF(ISERROR((Emissions!U116+Emissions!V116)/(Emissions!$I$18*Emissions!I64)*17/14),"",((Emissions!U116+Emissions!V116)/(Emissions!$I$18*Emissions!I64)*17/14))</f>
        <v/>
      </c>
      <c r="J49" s="76" t="str">
        <f>IF(ISERROR((Emissions!O116+Emissions!P116+Emissions!Q116+Emissions!R116+Emissions!S116+Emissions!T116+Emissions!U116+Emissions!V116)/(Emissions!$F$18*Emissions!F64+Emissions!$G$18*Emissions!G64+Emissions!$H$18*Emissions!H64+Emissions!$I$18*Emissions!I64)*17/14),"",(Emissions!O116+Emissions!P116+Emissions!Q116+Emissions!R116+Emissions!S116+Emissions!T116+Emissions!U116+Emissions!V116)/(Emissions!$F$18*Emissions!F64+Emissions!$G$18*Emissions!G64+Emissions!$H$18*Emissions!H64+Emissions!$I$18*Emissions!I64)*17/14)</f>
        <v/>
      </c>
    </row>
    <row r="50" spans="1:19" x14ac:dyDescent="0.35">
      <c r="B50" s="75" t="str">
        <f>IF(Exploitation!B32="","",Exploitation!B32)</f>
        <v/>
      </c>
      <c r="C50" s="76" t="str">
        <f>IF(ISERROR((Emissions!I117+Emissions!J117)/(Emissions!$C$18*Emissions!C65)*17/14),"",((Emissions!I117+Emissions!J117)/(Emissions!$C$18*Emissions!C65)*17/14))</f>
        <v/>
      </c>
      <c r="D50" s="76" t="str">
        <f>IF(ISERROR((Emissions!K117+Emissions!L117)/(Emissions!$D$18*Emissions!D65)*17/14),"",((Emissions!K117+Emissions!L117)/(Emissions!$D$18*Emissions!D65)*17/14))</f>
        <v/>
      </c>
      <c r="E50" s="76" t="str">
        <f>IF(ISERROR((Emissions!M117+Emissions!N117)/(Emissions!$E$18*Emissions!E65)*17/14),"",((Emissions!M117+Emissions!N117)/(Emissions!$E$18*Emissions!E65)*17/14))</f>
        <v/>
      </c>
      <c r="F50" s="76" t="str">
        <f>IF(ISERROR((Emissions!I117+Emissions!J117+Emissions!K117+Emissions!L117+Emissions!M117+Emissions!N117)/(Emissions!$C$18*Emissions!C65+Emissions!$D$18*Emissions!D65+Emissions!$E$18*Emissions!E65)*17/14),"",(Emissions!I117+Emissions!J117+Emissions!K117+Emissions!L117+Emissions!M117+Emissions!N117)/(Emissions!$C$18*Emissions!C65+Emissions!$D$18*Emissions!D65+Emissions!$E$18*Emissions!E65)*17/14)</f>
        <v/>
      </c>
      <c r="G50" s="76" t="str">
        <f>IF(ISERROR((Emissions!O117+Emissions!P117)/(Emissions!$F$18*Emissions!F65)*17/14),"",((Emissions!O117+Emissions!P117)/(Emissions!$F$18*Emissions!F65)*17/14))</f>
        <v/>
      </c>
      <c r="H50" s="76" t="str">
        <f>IF(ISERROR((Emissions!Q117+Emissions!R117+Emissions!S117+Emissions!T117)/(Emissions!$G$18*Emissions!G65+Emissions!$H$18*Emissions!H65)*17/14),"",(Emissions!Q117+Emissions!R117+Emissions!S117+Emissions!T117)/(Emissions!$G$18*Emissions!G65+Emissions!$H$18*Emissions!H65)*17/14)</f>
        <v/>
      </c>
      <c r="I50" s="76" t="str">
        <f>IF(ISERROR((Emissions!U117+Emissions!V117)/(Emissions!$I$18*Emissions!I65)*17/14),"",((Emissions!U117+Emissions!V117)/(Emissions!$I$18*Emissions!I65)*17/14))</f>
        <v/>
      </c>
      <c r="J50" s="76" t="str">
        <f>IF(ISERROR((Emissions!O117+Emissions!P117+Emissions!Q117+Emissions!R117+Emissions!S117+Emissions!T117+Emissions!U117+Emissions!V117)/(Emissions!$F$18*Emissions!F65+Emissions!$G$18*Emissions!G65+Emissions!$H$18*Emissions!H65+Emissions!$I$18*Emissions!I65)*17/14),"",(Emissions!O117+Emissions!P117+Emissions!Q117+Emissions!R117+Emissions!S117+Emissions!T117+Emissions!U117+Emissions!V117)/(Emissions!$F$18*Emissions!F65+Emissions!$G$18*Emissions!G65+Emissions!$H$18*Emissions!H65+Emissions!$I$18*Emissions!I65)*17/14)</f>
        <v/>
      </c>
    </row>
    <row r="51" spans="1:19" x14ac:dyDescent="0.35">
      <c r="B51" s="75" t="str">
        <f>IF(Exploitation!B33="","",Exploitation!B33)</f>
        <v/>
      </c>
      <c r="C51" s="76" t="str">
        <f>IF(ISERROR((Emissions!I118+Emissions!J118)/(Emissions!$C$18*Emissions!C66)*17/14),"",((Emissions!I118+Emissions!J118)/(Emissions!$C$18*Emissions!C66)*17/14))</f>
        <v/>
      </c>
      <c r="D51" s="76" t="str">
        <f>IF(ISERROR((Emissions!K118+Emissions!L118)/(Emissions!$D$18*Emissions!D66)*17/14),"",((Emissions!K118+Emissions!L118)/(Emissions!$D$18*Emissions!D66)*17/14))</f>
        <v/>
      </c>
      <c r="E51" s="76" t="str">
        <f>IF(ISERROR((Emissions!M118+Emissions!N118)/(Emissions!$E$18*Emissions!E66)*17/14),"",((Emissions!M118+Emissions!N118)/(Emissions!$E$18*Emissions!E66)*17/14))</f>
        <v/>
      </c>
      <c r="F51" s="76" t="str">
        <f>IF(ISERROR((Emissions!I118+Emissions!J118+Emissions!K118+Emissions!L118+Emissions!M118+Emissions!N118)/(Emissions!$C$18*Emissions!C66+Emissions!$D$18*Emissions!D66+Emissions!$E$18*Emissions!E66)*17/14),"",(Emissions!I118+Emissions!J118+Emissions!K118+Emissions!L118+Emissions!M118+Emissions!N118)/(Emissions!$C$18*Emissions!C66+Emissions!$D$18*Emissions!D66+Emissions!$E$18*Emissions!E66)*17/14)</f>
        <v/>
      </c>
      <c r="G51" s="76" t="str">
        <f>IF(ISERROR((Emissions!O118+Emissions!P118)/(Emissions!$F$18*Emissions!F66)*17/14),"",((Emissions!O118+Emissions!P118)/(Emissions!$F$18*Emissions!F66)*17/14))</f>
        <v/>
      </c>
      <c r="H51" s="76" t="str">
        <f>IF(ISERROR((Emissions!Q118+Emissions!R118+Emissions!S118+Emissions!T118)/(Emissions!$G$18*Emissions!G66+Emissions!$H$18*Emissions!H66)*17/14),"",(Emissions!Q118+Emissions!R118+Emissions!S118+Emissions!T118)/(Emissions!$G$18*Emissions!G66+Emissions!$H$18*Emissions!H66)*17/14)</f>
        <v/>
      </c>
      <c r="I51" s="76" t="str">
        <f>IF(ISERROR((Emissions!U118+Emissions!V118)/(Emissions!$I$18*Emissions!I66)*17/14),"",((Emissions!U118+Emissions!V118)/(Emissions!$I$18*Emissions!I66)*17/14))</f>
        <v/>
      </c>
      <c r="J51" s="76" t="str">
        <f>IF(ISERROR((Emissions!O118+Emissions!P118+Emissions!Q118+Emissions!R118+Emissions!S118+Emissions!T118+Emissions!U118+Emissions!V118)/(Emissions!$F$18*Emissions!F66+Emissions!$G$18*Emissions!G66+Emissions!$H$18*Emissions!H66+Emissions!$I$18*Emissions!I66)*17/14),"",(Emissions!O118+Emissions!P118+Emissions!Q118+Emissions!R118+Emissions!S118+Emissions!T118+Emissions!U118+Emissions!V118)/(Emissions!$F$18*Emissions!F66+Emissions!$G$18*Emissions!G66+Emissions!$H$18*Emissions!H66+Emissions!$I$18*Emissions!I66)*17/14)</f>
        <v/>
      </c>
    </row>
    <row r="52" spans="1:19" x14ac:dyDescent="0.35">
      <c r="B52" s="75" t="str">
        <f>IF(Exploitation!B34="","",Exploitation!B34)</f>
        <v/>
      </c>
      <c r="C52" s="76" t="str">
        <f>IF(ISERROR((Emissions!I119+Emissions!J119)/(Emissions!$C$18*Emissions!C67)*17/14),"",((Emissions!I119+Emissions!J119)/(Emissions!$C$18*Emissions!C67)*17/14))</f>
        <v/>
      </c>
      <c r="D52" s="76" t="str">
        <f>IF(ISERROR((Emissions!K119+Emissions!L119)/(Emissions!$D$18*Emissions!D67)*17/14),"",((Emissions!K119+Emissions!L119)/(Emissions!$D$18*Emissions!D67)*17/14))</f>
        <v/>
      </c>
      <c r="E52" s="76" t="str">
        <f>IF(ISERROR((Emissions!M119+Emissions!N119)/(Emissions!$E$18*Emissions!E67)*17/14),"",((Emissions!M119+Emissions!N119)/(Emissions!$E$18*Emissions!E67)*17/14))</f>
        <v/>
      </c>
      <c r="F52" s="76" t="str">
        <f>IF(ISERROR((Emissions!I119+Emissions!J119+Emissions!K119+Emissions!L119+Emissions!M119+Emissions!N119)/(Emissions!$C$18*Emissions!C67+Emissions!$D$18*Emissions!D67+Emissions!$E$18*Emissions!E67)*17/14),"",(Emissions!I119+Emissions!J119+Emissions!K119+Emissions!L119+Emissions!M119+Emissions!N119)/(Emissions!$C$18*Emissions!C67+Emissions!$D$18*Emissions!D67+Emissions!$E$18*Emissions!E67)*17/14)</f>
        <v/>
      </c>
      <c r="G52" s="76" t="str">
        <f>IF(ISERROR((Emissions!O119+Emissions!P119)/(Emissions!$F$18*Emissions!F67)*17/14),"",((Emissions!O119+Emissions!P119)/(Emissions!$F$18*Emissions!F67)*17/14))</f>
        <v/>
      </c>
      <c r="H52" s="76" t="str">
        <f>IF(ISERROR((Emissions!Q119+Emissions!R119+Emissions!S119+Emissions!T119)/(Emissions!$G$18*Emissions!G67+Emissions!$H$18*Emissions!H67)*17/14),"",(Emissions!Q119+Emissions!R119+Emissions!S119+Emissions!T119)/(Emissions!$G$18*Emissions!G67+Emissions!$H$18*Emissions!H67)*17/14)</f>
        <v/>
      </c>
      <c r="I52" s="76" t="str">
        <f>IF(ISERROR((Emissions!U119+Emissions!V119)/(Emissions!$I$18*Emissions!I67)*17/14),"",((Emissions!U119+Emissions!V119)/(Emissions!$I$18*Emissions!I67)*17/14))</f>
        <v/>
      </c>
      <c r="J52" s="76" t="str">
        <f>IF(ISERROR((Emissions!O119+Emissions!P119+Emissions!Q119+Emissions!R119+Emissions!S119+Emissions!T119+Emissions!U119+Emissions!V119)/(Emissions!$F$18*Emissions!F67+Emissions!$G$18*Emissions!G67+Emissions!$H$18*Emissions!H67+Emissions!$I$18*Emissions!I67)*17/14),"",(Emissions!O119+Emissions!P119+Emissions!Q119+Emissions!R119+Emissions!S119+Emissions!T119+Emissions!U119+Emissions!V119)/(Emissions!$F$18*Emissions!F67+Emissions!$G$18*Emissions!G67+Emissions!$H$18*Emissions!H67+Emissions!$I$18*Emissions!I67)*17/14)</f>
        <v/>
      </c>
    </row>
    <row r="55" spans="1:19" ht="18.5" x14ac:dyDescent="0.45">
      <c r="A55" s="74" t="s">
        <v>765</v>
      </c>
      <c r="M55" s="12"/>
      <c r="N55" s="12"/>
      <c r="O55" s="12"/>
      <c r="P55" s="12"/>
      <c r="Q55" s="12"/>
      <c r="R55" s="12"/>
      <c r="S55" s="12"/>
    </row>
    <row r="56" spans="1:19" s="12" customFormat="1" x14ac:dyDescent="0.35"/>
    <row r="57" spans="1:19" s="12" customFormat="1" ht="15" customHeight="1" x14ac:dyDescent="0.35">
      <c r="B57" s="578" t="s">
        <v>122</v>
      </c>
      <c r="C57" s="564" t="s">
        <v>775</v>
      </c>
      <c r="D57" s="561" t="s">
        <v>763</v>
      </c>
      <c r="E57" s="562"/>
      <c r="F57" s="562"/>
      <c r="G57" s="563"/>
      <c r="H57" s="564" t="s">
        <v>699</v>
      </c>
      <c r="I57" s="561" t="s">
        <v>205</v>
      </c>
      <c r="J57" s="562"/>
      <c r="K57" s="563"/>
      <c r="L57" s="564" t="s">
        <v>700</v>
      </c>
      <c r="M57" s="580" t="s">
        <v>825</v>
      </c>
      <c r="N57" s="580" t="s">
        <v>826</v>
      </c>
    </row>
    <row r="58" spans="1:19" s="12" customFormat="1" ht="15" customHeight="1" x14ac:dyDescent="0.35">
      <c r="B58" s="578"/>
      <c r="C58" s="583"/>
      <c r="D58" s="574" t="s">
        <v>697</v>
      </c>
      <c r="E58" s="575"/>
      <c r="F58" s="576" t="s">
        <v>764</v>
      </c>
      <c r="G58" s="576" t="s">
        <v>698</v>
      </c>
      <c r="H58" s="583"/>
      <c r="I58" s="564" t="s">
        <v>380</v>
      </c>
      <c r="J58" s="564" t="s">
        <v>381</v>
      </c>
      <c r="K58" s="564" t="s">
        <v>379</v>
      </c>
      <c r="L58" s="583"/>
      <c r="M58" s="581"/>
      <c r="N58" s="581"/>
    </row>
    <row r="59" spans="1:19" s="12" customFormat="1" ht="42" x14ac:dyDescent="0.35">
      <c r="B59" s="579"/>
      <c r="C59" s="565"/>
      <c r="D59" s="346" t="s">
        <v>766</v>
      </c>
      <c r="E59" s="346" t="s">
        <v>697</v>
      </c>
      <c r="F59" s="577"/>
      <c r="G59" s="577"/>
      <c r="H59" s="565"/>
      <c r="I59" s="565"/>
      <c r="J59" s="565"/>
      <c r="K59" s="565"/>
      <c r="L59" s="565"/>
      <c r="M59" s="582"/>
      <c r="N59" s="582"/>
    </row>
    <row r="60" spans="1:19" s="12" customFormat="1" x14ac:dyDescent="0.35">
      <c r="B60" s="75" t="str">
        <f>B33</f>
        <v/>
      </c>
      <c r="C60" s="366"/>
      <c r="D60" s="366"/>
      <c r="E60" s="76">
        <f>IF(C33&lt;&gt;"",IF(D33="",VLOOKUP(D60,NEA_PS,VLOOKUP(C60,MAT_NEA,2,FALSE),FALSE),HLOOKUP(C60,'Données d''entrée'!$B$632:$E$639,2,FALSE)),0)</f>
        <v>0</v>
      </c>
      <c r="F60" s="76">
        <f>IF(D33&lt;&gt;"",HLOOKUP($C60,'Données d''entrée'!$B$632:$E$639,3,FALSE),0)</f>
        <v>0</v>
      </c>
      <c r="G60" s="76">
        <f>IF(E33&lt;&gt;"",HLOOKUP($C60,'Données d''entrée'!$B$632:$E$639,4,FALSE),0)</f>
        <v>0</v>
      </c>
      <c r="H60" s="76" t="str">
        <f>IF(ISERROR((E60*Exploitation!C15+'Synthèse des émissions'!F60*Exploitation!D15+'Synthèse des émissions'!G60*Exploitation!E15)/(Exploitation!C15+Exploitation!D15+Exploitation!E15)),"",(E60*Exploitation!C15+'Synthèse des émissions'!F60*Exploitation!D15+'Synthèse des émissions'!G60*Exploitation!E15)/(Exploitation!C15+Exploitation!D15+Exploitation!E15))</f>
        <v/>
      </c>
      <c r="I60" s="76">
        <f>IF(G33&lt;&gt;"",HLOOKUP($C60,'Données d''entrée'!$B$632:$E$639,5,FALSE),0)</f>
        <v>0</v>
      </c>
      <c r="J60" s="76">
        <f>IF(H33&lt;&gt;"",HLOOKUP($C60,'Données d''entrée'!$B$632:$E$639,6,FALSE),0)</f>
        <v>0</v>
      </c>
      <c r="K60" s="76">
        <f>IF(I33&lt;&gt;"",HLOOKUP($C60,'Données d''entrée'!$B$632:$E$639,8,FALSE),0)</f>
        <v>0</v>
      </c>
      <c r="L60" s="76" t="str">
        <f>IF(ISERROR((I60*Exploitation!F15+J60*(Exploitation!G15+Exploitation!H15)+K60*Exploitation!I15)/(Exploitation!F15+Exploitation!G15+Exploitation!H15+Exploitation!I15)),"",(I60*Exploitation!F15+J60*(Exploitation!G15+Exploitation!H15)+K60*Exploitation!I15)/(Exploitation!F15+Exploitation!G15+Exploitation!H15+Exploitation!I15))</f>
        <v/>
      </c>
      <c r="M60" s="366"/>
      <c r="N60" s="366"/>
    </row>
    <row r="61" spans="1:19" s="12" customFormat="1" x14ac:dyDescent="0.35">
      <c r="B61" s="75" t="str">
        <f t="shared" ref="B61:B79" si="0">B34</f>
        <v/>
      </c>
      <c r="C61" s="366"/>
      <c r="D61" s="366"/>
      <c r="E61" s="76">
        <f>IF(C34&lt;&gt;"",IF(D34="",VLOOKUP(D61,NEA_PS,VLOOKUP(C61,MAT_NEA,2,FALSE),FALSE),HLOOKUP(C61,'Données d''entrée'!$B$632:$E$639,2,FALSE)),0)</f>
        <v>0</v>
      </c>
      <c r="F61" s="76">
        <f>IF(D34&lt;&gt;"",HLOOKUP($C61,'Données d''entrée'!$B$632:$E$639,3,FALSE),0)</f>
        <v>0</v>
      </c>
      <c r="G61" s="76">
        <f>IF(E34&lt;&gt;"",HLOOKUP($C61,'Données d''entrée'!$B$632:$E$639,4,FALSE),0)</f>
        <v>0</v>
      </c>
      <c r="H61" s="76" t="str">
        <f>IF(ISERROR((E61*Exploitation!C16+'Synthèse des émissions'!F61*Exploitation!D16+'Synthèse des émissions'!G61*Exploitation!E16)/(Exploitation!C16+Exploitation!D16+Exploitation!E16)),"",(E61*Exploitation!C16+'Synthèse des émissions'!F61*Exploitation!D16+'Synthèse des émissions'!G61*Exploitation!E16)/(Exploitation!C16+Exploitation!D16+Exploitation!E16))</f>
        <v/>
      </c>
      <c r="I61" s="76">
        <f>IF(G34&lt;&gt;"",HLOOKUP($C61,'Données d''entrée'!$B$632:$E$639,5,FALSE),0)</f>
        <v>0</v>
      </c>
      <c r="J61" s="76">
        <f>IF(H34&lt;&gt;"",HLOOKUP($C61,'Données d''entrée'!$B$632:$E$639,6,FALSE),0)</f>
        <v>0</v>
      </c>
      <c r="K61" s="76">
        <f>IF(I34&lt;&gt;"",HLOOKUP($C61,'Données d''entrée'!$B$632:$E$639,8,FALSE),0)</f>
        <v>0</v>
      </c>
      <c r="L61" s="76" t="str">
        <f>IF(ISERROR((I61*Exploitation!F16+J61*(Exploitation!G16+Exploitation!H16)+K61*Exploitation!I16)/(Exploitation!F16+Exploitation!G16+Exploitation!H16+Exploitation!I16)),"",(I61*Exploitation!F16+J61*(Exploitation!G16+Exploitation!H16)+K61*Exploitation!I16)/(Exploitation!F16+Exploitation!G16+Exploitation!H16+Exploitation!I16))</f>
        <v/>
      </c>
      <c r="M61" s="366"/>
      <c r="N61" s="366"/>
    </row>
    <row r="62" spans="1:19" s="12" customFormat="1" x14ac:dyDescent="0.35">
      <c r="B62" s="75" t="str">
        <f t="shared" si="0"/>
        <v/>
      </c>
      <c r="C62" s="366"/>
      <c r="D62" s="366"/>
      <c r="E62" s="76">
        <f>IF(C35&lt;&gt;"",IF(D35="",VLOOKUP(D62,NEA_PS,VLOOKUP(C62,MAT_NEA,2,FALSE),FALSE),HLOOKUP(C62,'Données d''entrée'!$B$632:$E$639,2,FALSE)),0)</f>
        <v>0</v>
      </c>
      <c r="F62" s="76">
        <f>IF(D35&lt;&gt;"",HLOOKUP($C62,'Données d''entrée'!$B$632:$E$639,3,FALSE),0)</f>
        <v>0</v>
      </c>
      <c r="G62" s="76">
        <f>IF(E35&lt;&gt;"",HLOOKUP($C62,'Données d''entrée'!$B$632:$E$639,4,FALSE),0)</f>
        <v>0</v>
      </c>
      <c r="H62" s="76" t="str">
        <f>IF(ISERROR((E62*Exploitation!C17+'Synthèse des émissions'!F62*Exploitation!D17+'Synthèse des émissions'!G62*Exploitation!E17)/(Exploitation!C17+Exploitation!D17+Exploitation!E17)),"",(E62*Exploitation!C17+'Synthèse des émissions'!F62*Exploitation!D17+'Synthèse des émissions'!G62*Exploitation!E17)/(Exploitation!C17+Exploitation!D17+Exploitation!E17))</f>
        <v/>
      </c>
      <c r="I62" s="76">
        <f>IF(G35&lt;&gt;"",HLOOKUP($C62,'Données d''entrée'!$B$632:$E$639,5,FALSE),0)</f>
        <v>0</v>
      </c>
      <c r="J62" s="76">
        <f>IF(H35&lt;&gt;"",HLOOKUP($C62,'Données d''entrée'!$B$632:$E$639,6,FALSE),0)</f>
        <v>0</v>
      </c>
      <c r="K62" s="76">
        <f>IF(I35&lt;&gt;"",HLOOKUP($C62,'Données d''entrée'!$B$632:$E$639,8,FALSE),0)</f>
        <v>0</v>
      </c>
      <c r="L62" s="76" t="str">
        <f>IF(ISERROR((I62*Exploitation!F17+J62*(Exploitation!G17+Exploitation!H17)+K62*Exploitation!I17)/(Exploitation!F17+Exploitation!G17+Exploitation!H17+Exploitation!I17)),"",(I62*Exploitation!F17+J62*(Exploitation!G17+Exploitation!H17)+K62*Exploitation!I17)/(Exploitation!F17+Exploitation!G17+Exploitation!H17+Exploitation!I17))</f>
        <v/>
      </c>
      <c r="M62" s="366"/>
      <c r="N62" s="366"/>
    </row>
    <row r="63" spans="1:19" s="12" customFormat="1" x14ac:dyDescent="0.35">
      <c r="B63" s="75" t="str">
        <f t="shared" si="0"/>
        <v/>
      </c>
      <c r="C63" s="366"/>
      <c r="D63" s="366"/>
      <c r="E63" s="76">
        <f>IF(C36&lt;&gt;"",IF(D36="",VLOOKUP(D63,NEA_PS,VLOOKUP(C63,MAT_NEA,2,FALSE),FALSE),HLOOKUP(C63,'Données d''entrée'!$B$632:$E$639,2,FALSE)),0)</f>
        <v>0</v>
      </c>
      <c r="F63" s="76">
        <f>IF(D36&lt;&gt;"",HLOOKUP($C63,'Données d''entrée'!$B$632:$E$639,3,FALSE),0)</f>
        <v>0</v>
      </c>
      <c r="G63" s="76">
        <f>IF(E36&lt;&gt;"",HLOOKUP($C63,'Données d''entrée'!$B$632:$E$639,4,FALSE),0)</f>
        <v>0</v>
      </c>
      <c r="H63" s="76" t="str">
        <f>IF(ISERROR((E63*Exploitation!C18+'Synthèse des émissions'!F63*Exploitation!D18+'Synthèse des émissions'!G63*Exploitation!E18)/(Exploitation!C18+Exploitation!D18+Exploitation!E18)),"",(E63*Exploitation!C18+'Synthèse des émissions'!F63*Exploitation!D18+'Synthèse des émissions'!G63*Exploitation!E18)/(Exploitation!C18+Exploitation!D18+Exploitation!E18))</f>
        <v/>
      </c>
      <c r="I63" s="76">
        <f>IF(G36&lt;&gt;"",HLOOKUP($C63,'Données d''entrée'!$B$632:$E$639,5,FALSE),0)</f>
        <v>0</v>
      </c>
      <c r="J63" s="76">
        <f>IF(H36&lt;&gt;"",HLOOKUP($C63,'Données d''entrée'!$B$632:$E$639,6,FALSE),0)</f>
        <v>0</v>
      </c>
      <c r="K63" s="76">
        <f>IF(I36&lt;&gt;"",HLOOKUP($C63,'Données d''entrée'!$B$632:$E$639,8,FALSE),0)</f>
        <v>0</v>
      </c>
      <c r="L63" s="76" t="str">
        <f>IF(ISERROR((I63*Exploitation!F18+J63*(Exploitation!G18+Exploitation!H18)+K63*Exploitation!I18)/(Exploitation!F18+Exploitation!G18+Exploitation!H18+Exploitation!I18)),"",(I63*Exploitation!F18+J63*(Exploitation!G18+Exploitation!H18)+K63*Exploitation!I18)/(Exploitation!F18+Exploitation!G18+Exploitation!H18+Exploitation!I18))</f>
        <v/>
      </c>
      <c r="M63" s="366"/>
      <c r="N63" s="366"/>
    </row>
    <row r="64" spans="1:19" s="12" customFormat="1" x14ac:dyDescent="0.35">
      <c r="B64" s="75" t="str">
        <f t="shared" si="0"/>
        <v/>
      </c>
      <c r="C64" s="366"/>
      <c r="D64" s="366"/>
      <c r="E64" s="76">
        <f>IF(C37&lt;&gt;"",IF(D37="",VLOOKUP(D64,NEA_PS,VLOOKUP(C64,MAT_NEA,2,FALSE),FALSE),HLOOKUP(C64,'Données d''entrée'!$B$632:$E$639,2,FALSE)),0)</f>
        <v>0</v>
      </c>
      <c r="F64" s="76">
        <f>IF(D37&lt;&gt;"",HLOOKUP($C64,'Données d''entrée'!$B$632:$E$639,3,FALSE),0)</f>
        <v>0</v>
      </c>
      <c r="G64" s="76">
        <f>IF(E37&lt;&gt;"",HLOOKUP($C64,'Données d''entrée'!$B$632:$E$639,4,FALSE),0)</f>
        <v>0</v>
      </c>
      <c r="H64" s="76" t="str">
        <f>IF(ISERROR((E64*Exploitation!C19+'Synthèse des émissions'!F64*Exploitation!D19+'Synthèse des émissions'!G64*Exploitation!E19)/(Exploitation!C19+Exploitation!D19+Exploitation!E19)),"",(E64*Exploitation!C19+'Synthèse des émissions'!F64*Exploitation!D19+'Synthèse des émissions'!G64*Exploitation!E19)/(Exploitation!C19+Exploitation!D19+Exploitation!E19))</f>
        <v/>
      </c>
      <c r="I64" s="76">
        <f>IF(G37&lt;&gt;"",HLOOKUP($C64,'Données d''entrée'!$B$632:$E$639,5,FALSE),0)</f>
        <v>0</v>
      </c>
      <c r="J64" s="76">
        <f>IF(H37&lt;&gt;"",HLOOKUP($C64,'Données d''entrée'!$B$632:$E$639,6,FALSE),0)</f>
        <v>0</v>
      </c>
      <c r="K64" s="76">
        <f>IF(I37&lt;&gt;"",HLOOKUP($C64,'Données d''entrée'!$B$632:$E$639,8,FALSE),0)</f>
        <v>0</v>
      </c>
      <c r="L64" s="76" t="str">
        <f>IF(ISERROR((I64*Exploitation!F19+J64*(Exploitation!G19+Exploitation!H19)+K64*Exploitation!I19)/(Exploitation!F19+Exploitation!G19+Exploitation!H19+Exploitation!I19)),"",(I64*Exploitation!F19+J64*(Exploitation!G19+Exploitation!H19)+K64*Exploitation!I19)/(Exploitation!F19+Exploitation!G19+Exploitation!H19+Exploitation!I19))</f>
        <v/>
      </c>
      <c r="M64" s="366"/>
      <c r="N64" s="366"/>
    </row>
    <row r="65" spans="2:14" s="12" customFormat="1" x14ac:dyDescent="0.35">
      <c r="B65" s="75" t="str">
        <f t="shared" si="0"/>
        <v/>
      </c>
      <c r="C65" s="366"/>
      <c r="D65" s="366"/>
      <c r="E65" s="76">
        <f>IF(C38&lt;&gt;"",IF(D38="",VLOOKUP(D65,NEA_PS,VLOOKUP(C65,MAT_NEA,2,FALSE),FALSE),HLOOKUP(C65,'Données d''entrée'!$B$632:$E$639,2,FALSE)),0)</f>
        <v>0</v>
      </c>
      <c r="F65" s="76">
        <f>IF(D38&lt;&gt;"",HLOOKUP($C65,'Données d''entrée'!$B$632:$E$639,3,FALSE),0)</f>
        <v>0</v>
      </c>
      <c r="G65" s="76">
        <f>IF(E38&lt;&gt;"",HLOOKUP($C65,'Données d''entrée'!$B$632:$E$639,4,FALSE),0)</f>
        <v>0</v>
      </c>
      <c r="H65" s="76" t="str">
        <f>IF(ISERROR((E65*Exploitation!C20+'Synthèse des émissions'!F65*Exploitation!D20+'Synthèse des émissions'!G65*Exploitation!E20)/(Exploitation!C20+Exploitation!D20+Exploitation!E20)),"",(E65*Exploitation!C20+'Synthèse des émissions'!F65*Exploitation!D20+'Synthèse des émissions'!G65*Exploitation!E20)/(Exploitation!C20+Exploitation!D20+Exploitation!E20))</f>
        <v/>
      </c>
      <c r="I65" s="76">
        <f>IF(G38&lt;&gt;"",HLOOKUP($C65,'Données d''entrée'!$B$632:$E$639,5,FALSE),0)</f>
        <v>0</v>
      </c>
      <c r="J65" s="76">
        <f>IF(H38&lt;&gt;"",HLOOKUP($C65,'Données d''entrée'!$B$632:$E$639,6,FALSE),0)</f>
        <v>0</v>
      </c>
      <c r="K65" s="76">
        <f>IF(I38&lt;&gt;"",HLOOKUP($C65,'Données d''entrée'!$B$632:$E$639,8,FALSE),0)</f>
        <v>0</v>
      </c>
      <c r="L65" s="76" t="str">
        <f>IF(ISERROR((I65*Exploitation!F20+J65*(Exploitation!G20+Exploitation!H20)+K65*Exploitation!I20)/(Exploitation!F20+Exploitation!G20+Exploitation!H20+Exploitation!I20)),"",(I65*Exploitation!F20+J65*(Exploitation!G20+Exploitation!H20)+K65*Exploitation!I20)/(Exploitation!F20+Exploitation!G20+Exploitation!H20+Exploitation!I20))</f>
        <v/>
      </c>
      <c r="M65" s="366"/>
      <c r="N65" s="366"/>
    </row>
    <row r="66" spans="2:14" s="12" customFormat="1" x14ac:dyDescent="0.35">
      <c r="B66" s="75" t="str">
        <f t="shared" si="0"/>
        <v/>
      </c>
      <c r="C66" s="366"/>
      <c r="D66" s="366"/>
      <c r="E66" s="76">
        <f>IF(C39&lt;&gt;"",IF(D39="",VLOOKUP(D66,NEA_PS,VLOOKUP(C66,MAT_NEA,2,FALSE),FALSE),HLOOKUP(C66,'Données d''entrée'!$B$632:$E$639,2,FALSE)),0)</f>
        <v>0</v>
      </c>
      <c r="F66" s="76">
        <f>IF(D39&lt;&gt;"",HLOOKUP($C66,'Données d''entrée'!$B$632:$E$639,3,FALSE),0)</f>
        <v>0</v>
      </c>
      <c r="G66" s="76">
        <f>IF(E39&lt;&gt;"",HLOOKUP($C66,'Données d''entrée'!$B$632:$E$639,4,FALSE),0)</f>
        <v>0</v>
      </c>
      <c r="H66" s="76" t="str">
        <f>IF(ISERROR((E66*Exploitation!C21+'Synthèse des émissions'!F66*Exploitation!D21+'Synthèse des émissions'!G66*Exploitation!E21)/(Exploitation!C21+Exploitation!D21+Exploitation!E21)),"",(E66*Exploitation!C21+'Synthèse des émissions'!F66*Exploitation!D21+'Synthèse des émissions'!G66*Exploitation!E21)/(Exploitation!C21+Exploitation!D21+Exploitation!E21))</f>
        <v/>
      </c>
      <c r="I66" s="76">
        <f>IF(G39&lt;&gt;"",HLOOKUP($C66,'Données d''entrée'!$B$632:$E$639,5,FALSE),0)</f>
        <v>0</v>
      </c>
      <c r="J66" s="76">
        <f>IF(H39&lt;&gt;"",HLOOKUP($C66,'Données d''entrée'!$B$632:$E$639,6,FALSE),0)</f>
        <v>0</v>
      </c>
      <c r="K66" s="76">
        <f>IF(I39&lt;&gt;"",HLOOKUP($C66,'Données d''entrée'!$B$632:$E$639,8,FALSE),0)</f>
        <v>0</v>
      </c>
      <c r="L66" s="76" t="str">
        <f>IF(ISERROR((I66*Exploitation!F21+J66*(Exploitation!G21+Exploitation!H21)+K66*Exploitation!I21)/(Exploitation!F21+Exploitation!G21+Exploitation!H21+Exploitation!I21)),"",(I66*Exploitation!F21+J66*(Exploitation!G21+Exploitation!H21)+K66*Exploitation!I21)/(Exploitation!F21+Exploitation!G21+Exploitation!H21+Exploitation!I21))</f>
        <v/>
      </c>
      <c r="M66" s="366"/>
      <c r="N66" s="366"/>
    </row>
    <row r="67" spans="2:14" s="12" customFormat="1" x14ac:dyDescent="0.35">
      <c r="B67" s="75" t="str">
        <f t="shared" si="0"/>
        <v/>
      </c>
      <c r="C67" s="366"/>
      <c r="D67" s="366"/>
      <c r="E67" s="76">
        <f>IF(C40&lt;&gt;"",IF(D40="",VLOOKUP(D67,NEA_PS,VLOOKUP(C67,MAT_NEA,2,FALSE),FALSE),HLOOKUP(C67,'Données d''entrée'!$B$632:$E$639,2,FALSE)),0)</f>
        <v>0</v>
      </c>
      <c r="F67" s="76">
        <f>IF(D40&lt;&gt;"",HLOOKUP($C67,'Données d''entrée'!$B$632:$E$639,3,FALSE),0)</f>
        <v>0</v>
      </c>
      <c r="G67" s="76">
        <f>IF(E40&lt;&gt;"",HLOOKUP($C67,'Données d''entrée'!$B$632:$E$639,4,FALSE),0)</f>
        <v>0</v>
      </c>
      <c r="H67" s="76" t="str">
        <f>IF(ISERROR((E67*Exploitation!C22+'Synthèse des émissions'!F67*Exploitation!D22+'Synthèse des émissions'!G67*Exploitation!E22)/(Exploitation!C22+Exploitation!D22+Exploitation!E22)),"",(E67*Exploitation!C22+'Synthèse des émissions'!F67*Exploitation!D22+'Synthèse des émissions'!G67*Exploitation!E22)/(Exploitation!C22+Exploitation!D22+Exploitation!E22))</f>
        <v/>
      </c>
      <c r="I67" s="76">
        <f>IF(G40&lt;&gt;"",HLOOKUP($C67,'Données d''entrée'!$B$632:$E$639,5,FALSE),0)</f>
        <v>0</v>
      </c>
      <c r="J67" s="76">
        <f>IF(H40&lt;&gt;"",HLOOKUP($C67,'Données d''entrée'!$B$632:$E$639,6,FALSE),0)</f>
        <v>0</v>
      </c>
      <c r="K67" s="76">
        <f>IF(I40&lt;&gt;"",HLOOKUP($C67,'Données d''entrée'!$B$632:$E$639,8,FALSE),0)</f>
        <v>0</v>
      </c>
      <c r="L67" s="76" t="str">
        <f>IF(ISERROR((I67*Exploitation!F22+J67*(Exploitation!G22+Exploitation!H22)+K67*Exploitation!I22)/(Exploitation!F22+Exploitation!G22+Exploitation!H22+Exploitation!I22)),"",(I67*Exploitation!F22+J67*(Exploitation!G22+Exploitation!H22)+K67*Exploitation!I22)/(Exploitation!F22+Exploitation!G22+Exploitation!H22+Exploitation!I22))</f>
        <v/>
      </c>
      <c r="M67" s="366"/>
      <c r="N67" s="366"/>
    </row>
    <row r="68" spans="2:14" s="12" customFormat="1" x14ac:dyDescent="0.35">
      <c r="B68" s="75" t="str">
        <f t="shared" si="0"/>
        <v/>
      </c>
      <c r="C68" s="366"/>
      <c r="D68" s="366"/>
      <c r="E68" s="76">
        <f>IF(C41&lt;&gt;"",IF(D41="",VLOOKUP(D68,NEA_PS,VLOOKUP(C68,MAT_NEA,2,FALSE),FALSE),HLOOKUP(C68,'Données d''entrée'!$B$632:$E$639,2,FALSE)),0)</f>
        <v>0</v>
      </c>
      <c r="F68" s="76">
        <f>IF(D41&lt;&gt;"",HLOOKUP($C68,'Données d''entrée'!$B$632:$E$639,3,FALSE),0)</f>
        <v>0</v>
      </c>
      <c r="G68" s="76">
        <f>IF(E41&lt;&gt;"",HLOOKUP($C68,'Données d''entrée'!$B$632:$E$639,4,FALSE),0)</f>
        <v>0</v>
      </c>
      <c r="H68" s="76" t="str">
        <f>IF(ISERROR((E68*Exploitation!C23+'Synthèse des émissions'!F68*Exploitation!D23+'Synthèse des émissions'!G68*Exploitation!E23)/(Exploitation!C23+Exploitation!D23+Exploitation!E23)),"",(E68*Exploitation!C23+'Synthèse des émissions'!F68*Exploitation!D23+'Synthèse des émissions'!G68*Exploitation!E23)/(Exploitation!C23+Exploitation!D23+Exploitation!E23))</f>
        <v/>
      </c>
      <c r="I68" s="76">
        <f>IF(G41&lt;&gt;"",HLOOKUP($C68,'Données d''entrée'!$B$632:$E$639,5,FALSE),0)</f>
        <v>0</v>
      </c>
      <c r="J68" s="76">
        <f>IF(H41&lt;&gt;"",HLOOKUP($C68,'Données d''entrée'!$B$632:$E$639,6,FALSE),0)</f>
        <v>0</v>
      </c>
      <c r="K68" s="76">
        <f>IF(I41&lt;&gt;"",HLOOKUP($C68,'Données d''entrée'!$B$632:$E$639,8,FALSE),0)</f>
        <v>0</v>
      </c>
      <c r="L68" s="76" t="str">
        <f>IF(ISERROR((I68*Exploitation!F23+J68*(Exploitation!G23+Exploitation!H23)+K68*Exploitation!I23)/(Exploitation!F23+Exploitation!G23+Exploitation!H23+Exploitation!I23)),"",(I68*Exploitation!F23+J68*(Exploitation!G23+Exploitation!H23)+K68*Exploitation!I23)/(Exploitation!F23+Exploitation!G23+Exploitation!H23+Exploitation!I23))</f>
        <v/>
      </c>
      <c r="M68" s="366"/>
      <c r="N68" s="366"/>
    </row>
    <row r="69" spans="2:14" s="12" customFormat="1" x14ac:dyDescent="0.35">
      <c r="B69" s="75" t="str">
        <f t="shared" si="0"/>
        <v/>
      </c>
      <c r="C69" s="366"/>
      <c r="D69" s="366"/>
      <c r="E69" s="76">
        <f>IF(C42&lt;&gt;"",IF(D42="",VLOOKUP(D69,NEA_PS,VLOOKUP(C69,MAT_NEA,2,FALSE),FALSE),HLOOKUP(C69,'Données d''entrée'!$B$632:$E$639,2,FALSE)),0)</f>
        <v>0</v>
      </c>
      <c r="F69" s="76">
        <f>IF(D42&lt;&gt;"",HLOOKUP($C69,'Données d''entrée'!$B$632:$E$639,3,FALSE),0)</f>
        <v>0</v>
      </c>
      <c r="G69" s="76">
        <f>IF(E42&lt;&gt;"",HLOOKUP($C69,'Données d''entrée'!$B$632:$E$639,4,FALSE),0)</f>
        <v>0</v>
      </c>
      <c r="H69" s="76" t="str">
        <f>IF(ISERROR((E69*Exploitation!C24+'Synthèse des émissions'!F69*Exploitation!D24+'Synthèse des émissions'!G69*Exploitation!E24)/(Exploitation!C24+Exploitation!D24+Exploitation!E24)),"",(E69*Exploitation!C24+'Synthèse des émissions'!F69*Exploitation!D24+'Synthèse des émissions'!G69*Exploitation!E24)/(Exploitation!C24+Exploitation!D24+Exploitation!E24))</f>
        <v/>
      </c>
      <c r="I69" s="76">
        <f>IF(G42&lt;&gt;"",HLOOKUP($C69,'Données d''entrée'!$B$632:$E$639,5,FALSE),0)</f>
        <v>0</v>
      </c>
      <c r="J69" s="76">
        <f>IF(H42&lt;&gt;"",HLOOKUP($C69,'Données d''entrée'!$B$632:$E$639,6,FALSE),0)</f>
        <v>0</v>
      </c>
      <c r="K69" s="76">
        <f>IF(I42&lt;&gt;"",HLOOKUP($C69,'Données d''entrée'!$B$632:$E$639,8,FALSE),0)</f>
        <v>0</v>
      </c>
      <c r="L69" s="76" t="str">
        <f>IF(ISERROR((I69*Exploitation!F24+J69*(Exploitation!G24+Exploitation!H24)+K69*Exploitation!I24)/(Exploitation!F24+Exploitation!G24+Exploitation!H24+Exploitation!I24)),"",(I69*Exploitation!F24+J69*(Exploitation!G24+Exploitation!H24)+K69*Exploitation!I24)/(Exploitation!F24+Exploitation!G24+Exploitation!H24+Exploitation!I24))</f>
        <v/>
      </c>
      <c r="M69" s="366"/>
      <c r="N69" s="366"/>
    </row>
    <row r="70" spans="2:14" s="12" customFormat="1" x14ac:dyDescent="0.35">
      <c r="B70" s="75" t="str">
        <f t="shared" si="0"/>
        <v/>
      </c>
      <c r="C70" s="366"/>
      <c r="D70" s="366"/>
      <c r="E70" s="76">
        <f>IF(C43&lt;&gt;"",IF(D43="",VLOOKUP(D70,NEA_PS,VLOOKUP(C70,MAT_NEA,2,FALSE),FALSE),HLOOKUP(C70,'Données d''entrée'!$B$632:$E$639,2,FALSE)),0)</f>
        <v>0</v>
      </c>
      <c r="F70" s="76">
        <f>IF(D43&lt;&gt;"",HLOOKUP($C70,'Données d''entrée'!$B$632:$E$639,3,FALSE),0)</f>
        <v>0</v>
      </c>
      <c r="G70" s="76">
        <f>IF(E43&lt;&gt;"",HLOOKUP($C70,'Données d''entrée'!$B$632:$E$639,4,FALSE),0)</f>
        <v>0</v>
      </c>
      <c r="H70" s="76" t="str">
        <f>IF(ISERROR((E70*Exploitation!C25+'Synthèse des émissions'!F70*Exploitation!D25+'Synthèse des émissions'!G70*Exploitation!E25)/(Exploitation!C25+Exploitation!D25+Exploitation!E25)),"",(E70*Exploitation!C25+'Synthèse des émissions'!F70*Exploitation!D25+'Synthèse des émissions'!G70*Exploitation!E25)/(Exploitation!C25+Exploitation!D25+Exploitation!E25))</f>
        <v/>
      </c>
      <c r="I70" s="76">
        <f>IF(G43&lt;&gt;"",HLOOKUP($C70,'Données d''entrée'!$B$632:$E$639,5,FALSE),0)</f>
        <v>0</v>
      </c>
      <c r="J70" s="76">
        <f>IF(H43&lt;&gt;"",HLOOKUP($C70,'Données d''entrée'!$B$632:$E$639,6,FALSE),0)</f>
        <v>0</v>
      </c>
      <c r="K70" s="76">
        <f>IF(I43&lt;&gt;"",HLOOKUP($C70,'Données d''entrée'!$B$632:$E$639,8,FALSE),0)</f>
        <v>0</v>
      </c>
      <c r="L70" s="76" t="str">
        <f>IF(ISERROR((I70*Exploitation!F25+J70*(Exploitation!G25+Exploitation!H25)+K70*Exploitation!I25)/(Exploitation!F25+Exploitation!G25+Exploitation!H25+Exploitation!I25)),"",(I70*Exploitation!F25+J70*(Exploitation!G25+Exploitation!H25)+K70*Exploitation!I25)/(Exploitation!F25+Exploitation!G25+Exploitation!H25+Exploitation!I25))</f>
        <v/>
      </c>
      <c r="M70" s="366"/>
      <c r="N70" s="366"/>
    </row>
    <row r="71" spans="2:14" s="12" customFormat="1" x14ac:dyDescent="0.35">
      <c r="B71" s="75" t="str">
        <f t="shared" si="0"/>
        <v/>
      </c>
      <c r="C71" s="366"/>
      <c r="D71" s="366"/>
      <c r="E71" s="76">
        <f>IF(C44&lt;&gt;"",IF(D44="",VLOOKUP(D71,NEA_PS,VLOOKUP(C71,MAT_NEA,2,FALSE),FALSE),HLOOKUP(C71,'Données d''entrée'!$B$632:$E$639,2,FALSE)),0)</f>
        <v>0</v>
      </c>
      <c r="F71" s="76">
        <f>IF(D44&lt;&gt;"",HLOOKUP($C71,'Données d''entrée'!$B$632:$E$639,3,FALSE),0)</f>
        <v>0</v>
      </c>
      <c r="G71" s="76">
        <f>IF(E44&lt;&gt;"",HLOOKUP($C71,'Données d''entrée'!$B$632:$E$639,4,FALSE),0)</f>
        <v>0</v>
      </c>
      <c r="H71" s="76" t="str">
        <f>IF(ISERROR((E71*Exploitation!C26+'Synthèse des émissions'!F71*Exploitation!D26+'Synthèse des émissions'!G71*Exploitation!E26)/(Exploitation!C26+Exploitation!D26+Exploitation!E26)),"",(E71*Exploitation!C26+'Synthèse des émissions'!F71*Exploitation!D26+'Synthèse des émissions'!G71*Exploitation!E26)/(Exploitation!C26+Exploitation!D26+Exploitation!E26))</f>
        <v/>
      </c>
      <c r="I71" s="76">
        <f>IF(G44&lt;&gt;"",HLOOKUP($C71,'Données d''entrée'!$B$632:$E$639,5,FALSE),0)</f>
        <v>0</v>
      </c>
      <c r="J71" s="76">
        <f>IF(H44&lt;&gt;"",HLOOKUP($C71,'Données d''entrée'!$B$632:$E$639,6,FALSE),0)</f>
        <v>0</v>
      </c>
      <c r="K71" s="76">
        <f>IF(I44&lt;&gt;"",HLOOKUP($C71,'Données d''entrée'!$B$632:$E$639,8,FALSE),0)</f>
        <v>0</v>
      </c>
      <c r="L71" s="76" t="str">
        <f>IF(ISERROR((I71*Exploitation!F26+J71*(Exploitation!G26+Exploitation!H26)+K71*Exploitation!I26)/(Exploitation!F26+Exploitation!G26+Exploitation!H26+Exploitation!I26)),"",(I71*Exploitation!F26+J71*(Exploitation!G26+Exploitation!H26)+K71*Exploitation!I26)/(Exploitation!F26+Exploitation!G26+Exploitation!H26+Exploitation!I26))</f>
        <v/>
      </c>
      <c r="M71" s="366"/>
      <c r="N71" s="366"/>
    </row>
    <row r="72" spans="2:14" s="12" customFormat="1" x14ac:dyDescent="0.35">
      <c r="B72" s="75" t="str">
        <f t="shared" si="0"/>
        <v/>
      </c>
      <c r="C72" s="366"/>
      <c r="D72" s="366"/>
      <c r="E72" s="76">
        <f>IF(C45&lt;&gt;"",IF(D45="",VLOOKUP(D72,NEA_PS,VLOOKUP(C72,MAT_NEA,2,FALSE),FALSE),HLOOKUP(C72,'Données d''entrée'!$B$632:$E$639,2,FALSE)),0)</f>
        <v>0</v>
      </c>
      <c r="F72" s="76">
        <f>IF(D45&lt;&gt;"",HLOOKUP($C72,'Données d''entrée'!$B$632:$E$639,3,FALSE),0)</f>
        <v>0</v>
      </c>
      <c r="G72" s="76">
        <f>IF(E45&lt;&gt;"",HLOOKUP($C72,'Données d''entrée'!$B$632:$E$639,4,FALSE),0)</f>
        <v>0</v>
      </c>
      <c r="H72" s="76" t="str">
        <f>IF(ISERROR((E72*Exploitation!C27+'Synthèse des émissions'!F72*Exploitation!D27+'Synthèse des émissions'!G72*Exploitation!E27)/(Exploitation!C27+Exploitation!D27+Exploitation!E27)),"",(E72*Exploitation!C27+'Synthèse des émissions'!F72*Exploitation!D27+'Synthèse des émissions'!G72*Exploitation!E27)/(Exploitation!C27+Exploitation!D27+Exploitation!E27))</f>
        <v/>
      </c>
      <c r="I72" s="76">
        <f>IF(G45&lt;&gt;"",HLOOKUP($C72,'Données d''entrée'!$B$632:$E$639,5,FALSE),0)</f>
        <v>0</v>
      </c>
      <c r="J72" s="76">
        <f>IF(H45&lt;&gt;"",HLOOKUP($C72,'Données d''entrée'!$B$632:$E$639,6,FALSE),0)</f>
        <v>0</v>
      </c>
      <c r="K72" s="76">
        <f>IF(I45&lt;&gt;"",HLOOKUP($C72,'Données d''entrée'!$B$632:$E$639,8,FALSE),0)</f>
        <v>0</v>
      </c>
      <c r="L72" s="76" t="str">
        <f>IF(ISERROR((I72*Exploitation!F27+J72*(Exploitation!G27+Exploitation!H27)+K72*Exploitation!I27)/(Exploitation!F27+Exploitation!G27+Exploitation!H27+Exploitation!I27)),"",(I72*Exploitation!F27+J72*(Exploitation!G27+Exploitation!H27)+K72*Exploitation!I27)/(Exploitation!F27+Exploitation!G27+Exploitation!H27+Exploitation!I27))</f>
        <v/>
      </c>
      <c r="M72" s="366"/>
      <c r="N72" s="366"/>
    </row>
    <row r="73" spans="2:14" s="12" customFormat="1" x14ac:dyDescent="0.35">
      <c r="B73" s="75" t="str">
        <f t="shared" si="0"/>
        <v/>
      </c>
      <c r="C73" s="366"/>
      <c r="D73" s="366"/>
      <c r="E73" s="76">
        <f>IF(C46&lt;&gt;"",IF(D46="",VLOOKUP(D73,NEA_PS,VLOOKUP(C73,MAT_NEA,2,FALSE),FALSE),HLOOKUP(C73,'Données d''entrée'!$B$632:$E$639,2,FALSE)),0)</f>
        <v>0</v>
      </c>
      <c r="F73" s="76">
        <f>IF(D46&lt;&gt;"",HLOOKUP($C73,'Données d''entrée'!$B$632:$E$639,3,FALSE),0)</f>
        <v>0</v>
      </c>
      <c r="G73" s="76">
        <f>IF(E46&lt;&gt;"",HLOOKUP($C73,'Données d''entrée'!$B$632:$E$639,4,FALSE),0)</f>
        <v>0</v>
      </c>
      <c r="H73" s="76" t="str">
        <f>IF(ISERROR((E73*Exploitation!C28+'Synthèse des émissions'!F73*Exploitation!D28+'Synthèse des émissions'!G73*Exploitation!E28)/(Exploitation!C28+Exploitation!D28+Exploitation!E28)),"",(E73*Exploitation!C28+'Synthèse des émissions'!F73*Exploitation!D28+'Synthèse des émissions'!G73*Exploitation!E28)/(Exploitation!C28+Exploitation!D28+Exploitation!E28))</f>
        <v/>
      </c>
      <c r="I73" s="76">
        <f>IF(G46&lt;&gt;"",HLOOKUP($C73,'Données d''entrée'!$B$632:$E$639,5,FALSE),0)</f>
        <v>0</v>
      </c>
      <c r="J73" s="76">
        <f>IF(H46&lt;&gt;"",HLOOKUP($C73,'Données d''entrée'!$B$632:$E$639,6,FALSE),0)</f>
        <v>0</v>
      </c>
      <c r="K73" s="76">
        <f>IF(I46&lt;&gt;"",HLOOKUP($C73,'Données d''entrée'!$B$632:$E$639,8,FALSE),0)</f>
        <v>0</v>
      </c>
      <c r="L73" s="76" t="str">
        <f>IF(ISERROR((I73*Exploitation!F28+J73*(Exploitation!G28+Exploitation!H28)+K73*Exploitation!I28)/(Exploitation!F28+Exploitation!G28+Exploitation!H28+Exploitation!I28)),"",(I73*Exploitation!F28+J73*(Exploitation!G28+Exploitation!H28)+K73*Exploitation!I28)/(Exploitation!F28+Exploitation!G28+Exploitation!H28+Exploitation!I28))</f>
        <v/>
      </c>
      <c r="M73" s="366"/>
      <c r="N73" s="366"/>
    </row>
    <row r="74" spans="2:14" s="12" customFormat="1" x14ac:dyDescent="0.35">
      <c r="B74" s="75" t="str">
        <f t="shared" si="0"/>
        <v/>
      </c>
      <c r="C74" s="366"/>
      <c r="D74" s="366"/>
      <c r="E74" s="76">
        <f>IF(C47&lt;&gt;"",IF(D47="",VLOOKUP(D74,NEA_PS,VLOOKUP(C74,MAT_NEA,2,FALSE),FALSE),HLOOKUP(C74,'Données d''entrée'!$B$632:$E$639,2,FALSE)),0)</f>
        <v>0</v>
      </c>
      <c r="F74" s="76">
        <f>IF(D47&lt;&gt;"",HLOOKUP($C74,'Données d''entrée'!$B$632:$E$639,3,FALSE),0)</f>
        <v>0</v>
      </c>
      <c r="G74" s="76">
        <f>IF(E47&lt;&gt;"",HLOOKUP($C74,'Données d''entrée'!$B$632:$E$639,4,FALSE),0)</f>
        <v>0</v>
      </c>
      <c r="H74" s="76" t="str">
        <f>IF(ISERROR((E74*Exploitation!C29+'Synthèse des émissions'!F74*Exploitation!D29+'Synthèse des émissions'!G74*Exploitation!E29)/(Exploitation!C29+Exploitation!D29+Exploitation!E29)),"",(E74*Exploitation!C29+'Synthèse des émissions'!F74*Exploitation!D29+'Synthèse des émissions'!G74*Exploitation!E29)/(Exploitation!C29+Exploitation!D29+Exploitation!E29))</f>
        <v/>
      </c>
      <c r="I74" s="76">
        <f>IF(G47&lt;&gt;"",HLOOKUP($C74,'Données d''entrée'!$B$632:$E$639,5,FALSE),0)</f>
        <v>0</v>
      </c>
      <c r="J74" s="76">
        <f>IF(H47&lt;&gt;"",HLOOKUP($C74,'Données d''entrée'!$B$632:$E$639,6,FALSE),0)</f>
        <v>0</v>
      </c>
      <c r="K74" s="76">
        <f>IF(I47&lt;&gt;"",HLOOKUP($C74,'Données d''entrée'!$B$632:$E$639,8,FALSE),0)</f>
        <v>0</v>
      </c>
      <c r="L74" s="76" t="str">
        <f>IF(ISERROR((I74*Exploitation!F29+J74*(Exploitation!G29+Exploitation!H29)+K74*Exploitation!I29)/(Exploitation!F29+Exploitation!G29+Exploitation!H29+Exploitation!I29)),"",(I74*Exploitation!F29+J74*(Exploitation!G29+Exploitation!H29)+K74*Exploitation!I29)/(Exploitation!F29+Exploitation!G29+Exploitation!H29+Exploitation!I29))</f>
        <v/>
      </c>
      <c r="M74" s="366"/>
      <c r="N74" s="366"/>
    </row>
    <row r="75" spans="2:14" s="12" customFormat="1" x14ac:dyDescent="0.35">
      <c r="B75" s="75" t="str">
        <f t="shared" si="0"/>
        <v/>
      </c>
      <c r="C75" s="366"/>
      <c r="D75" s="366"/>
      <c r="E75" s="76">
        <f>IF(C48&lt;&gt;"",IF(D48="",VLOOKUP(D75,NEA_PS,VLOOKUP(C75,MAT_NEA,2,FALSE),FALSE),HLOOKUP(C75,'Données d''entrée'!$B$632:$E$639,2,FALSE)),0)</f>
        <v>0</v>
      </c>
      <c r="F75" s="76">
        <f>IF(D48&lt;&gt;"",HLOOKUP($C75,'Données d''entrée'!$B$632:$E$639,3,FALSE),0)</f>
        <v>0</v>
      </c>
      <c r="G75" s="76">
        <f>IF(E48&lt;&gt;"",HLOOKUP($C75,'Données d''entrée'!$B$632:$E$639,4,FALSE),0)</f>
        <v>0</v>
      </c>
      <c r="H75" s="76" t="str">
        <f>IF(ISERROR((E75*Exploitation!C30+'Synthèse des émissions'!F75*Exploitation!D30+'Synthèse des émissions'!G75*Exploitation!E30)/(Exploitation!C30+Exploitation!D30+Exploitation!E30)),"",(E75*Exploitation!C30+'Synthèse des émissions'!F75*Exploitation!D30+'Synthèse des émissions'!G75*Exploitation!E30)/(Exploitation!C30+Exploitation!D30+Exploitation!E30))</f>
        <v/>
      </c>
      <c r="I75" s="76">
        <f>IF(G48&lt;&gt;"",HLOOKUP($C75,'Données d''entrée'!$B$632:$E$639,5,FALSE),0)</f>
        <v>0</v>
      </c>
      <c r="J75" s="76">
        <f>IF(H48&lt;&gt;"",HLOOKUP($C75,'Données d''entrée'!$B$632:$E$639,6,FALSE),0)</f>
        <v>0</v>
      </c>
      <c r="K75" s="76">
        <f>IF(I48&lt;&gt;"",HLOOKUP($C75,'Données d''entrée'!$B$632:$E$639,8,FALSE),0)</f>
        <v>0</v>
      </c>
      <c r="L75" s="76" t="str">
        <f>IF(ISERROR((I75*Exploitation!F30+J75*(Exploitation!G30+Exploitation!H30)+K75*Exploitation!I30)/(Exploitation!F30+Exploitation!G30+Exploitation!H30+Exploitation!I30)),"",(I75*Exploitation!F30+J75*(Exploitation!G30+Exploitation!H30)+K75*Exploitation!I30)/(Exploitation!F30+Exploitation!G30+Exploitation!H30+Exploitation!I30))</f>
        <v/>
      </c>
      <c r="M75" s="366"/>
      <c r="N75" s="366"/>
    </row>
    <row r="76" spans="2:14" s="12" customFormat="1" x14ac:dyDescent="0.35">
      <c r="B76" s="75" t="str">
        <f t="shared" si="0"/>
        <v/>
      </c>
      <c r="C76" s="366"/>
      <c r="D76" s="366"/>
      <c r="E76" s="76">
        <f>IF(C49&lt;&gt;"",IF(D49="",VLOOKUP(D76,NEA_PS,VLOOKUP(C76,MAT_NEA,2,FALSE),FALSE),HLOOKUP(C76,'Données d''entrée'!$B$632:$E$639,2,FALSE)),0)</f>
        <v>0</v>
      </c>
      <c r="F76" s="76">
        <f>IF(D49&lt;&gt;"",HLOOKUP($C76,'Données d''entrée'!$B$632:$E$639,3,FALSE),0)</f>
        <v>0</v>
      </c>
      <c r="G76" s="76">
        <f>IF(E49&lt;&gt;"",HLOOKUP($C76,'Données d''entrée'!$B$632:$E$639,4,FALSE),0)</f>
        <v>0</v>
      </c>
      <c r="H76" s="76" t="str">
        <f>IF(ISERROR((E76*Exploitation!C31+'Synthèse des émissions'!F76*Exploitation!D31+'Synthèse des émissions'!G76*Exploitation!E31)/(Exploitation!C31+Exploitation!D31+Exploitation!E31)),"",(E76*Exploitation!C31+'Synthèse des émissions'!F76*Exploitation!D31+'Synthèse des émissions'!G76*Exploitation!E31)/(Exploitation!C31+Exploitation!D31+Exploitation!E31))</f>
        <v/>
      </c>
      <c r="I76" s="76">
        <f>IF(G49&lt;&gt;"",HLOOKUP($C76,'Données d''entrée'!$B$632:$E$639,5,FALSE),0)</f>
        <v>0</v>
      </c>
      <c r="J76" s="76">
        <f>IF(H49&lt;&gt;"",HLOOKUP($C76,'Données d''entrée'!$B$632:$E$639,6,FALSE),0)</f>
        <v>0</v>
      </c>
      <c r="K76" s="76">
        <f>IF(I49&lt;&gt;"",HLOOKUP($C76,'Données d''entrée'!$B$632:$E$639,8,FALSE),0)</f>
        <v>0</v>
      </c>
      <c r="L76" s="76" t="str">
        <f>IF(ISERROR((I76*Exploitation!F31+J76*(Exploitation!G31+Exploitation!H31)+K76*Exploitation!I31)/(Exploitation!F31+Exploitation!G31+Exploitation!H31+Exploitation!I31)),"",(I76*Exploitation!F31+J76*(Exploitation!G31+Exploitation!H31)+K76*Exploitation!I31)/(Exploitation!F31+Exploitation!G31+Exploitation!H31+Exploitation!I31))</f>
        <v/>
      </c>
      <c r="M76" s="366"/>
      <c r="N76" s="366"/>
    </row>
    <row r="77" spans="2:14" s="12" customFormat="1" x14ac:dyDescent="0.35">
      <c r="B77" s="75" t="str">
        <f t="shared" si="0"/>
        <v/>
      </c>
      <c r="C77" s="366"/>
      <c r="D77" s="366"/>
      <c r="E77" s="76">
        <f>IF(C50&lt;&gt;"",IF(D50="",VLOOKUP(D77,NEA_PS,VLOOKUP(C77,MAT_NEA,2,FALSE),FALSE),HLOOKUP(C77,'Données d''entrée'!$B$632:$E$639,2,FALSE)),0)</f>
        <v>0</v>
      </c>
      <c r="F77" s="76">
        <f>IF(D50&lt;&gt;"",HLOOKUP($C77,'Données d''entrée'!$B$632:$E$639,3,FALSE),0)</f>
        <v>0</v>
      </c>
      <c r="G77" s="76">
        <f>IF(E50&lt;&gt;"",HLOOKUP($C77,'Données d''entrée'!$B$632:$E$639,4,FALSE),0)</f>
        <v>0</v>
      </c>
      <c r="H77" s="76" t="str">
        <f>IF(ISERROR((E77*Exploitation!C32+'Synthèse des émissions'!F77*Exploitation!D32+'Synthèse des émissions'!G77*Exploitation!E32)/(Exploitation!C32+Exploitation!D32+Exploitation!E32)),"",(E77*Exploitation!C32+'Synthèse des émissions'!F77*Exploitation!D32+'Synthèse des émissions'!G77*Exploitation!E32)/(Exploitation!C32+Exploitation!D32+Exploitation!E32))</f>
        <v/>
      </c>
      <c r="I77" s="76">
        <f>IF(G50&lt;&gt;"",HLOOKUP($C77,'Données d''entrée'!$B$632:$E$639,5,FALSE),0)</f>
        <v>0</v>
      </c>
      <c r="J77" s="76">
        <f>IF(H50&lt;&gt;"",HLOOKUP($C77,'Données d''entrée'!$B$632:$E$639,6,FALSE),0)</f>
        <v>0</v>
      </c>
      <c r="K77" s="76">
        <f>IF(I50&lt;&gt;"",HLOOKUP($C77,'Données d''entrée'!$B$632:$E$639,8,FALSE),0)</f>
        <v>0</v>
      </c>
      <c r="L77" s="76" t="str">
        <f>IF(ISERROR((I77*Exploitation!F32+J77*(Exploitation!G32+Exploitation!H32)+K77*Exploitation!I32)/(Exploitation!F32+Exploitation!G32+Exploitation!H32+Exploitation!I32)),"",(I77*Exploitation!F32+J77*(Exploitation!G32+Exploitation!H32)+K77*Exploitation!I32)/(Exploitation!F32+Exploitation!G32+Exploitation!H32+Exploitation!I32))</f>
        <v/>
      </c>
      <c r="M77" s="366"/>
      <c r="N77" s="366"/>
    </row>
    <row r="78" spans="2:14" s="12" customFormat="1" x14ac:dyDescent="0.35">
      <c r="B78" s="75" t="str">
        <f t="shared" si="0"/>
        <v/>
      </c>
      <c r="C78" s="366"/>
      <c r="D78" s="366"/>
      <c r="E78" s="76">
        <f>IF(C51&lt;&gt;"",IF(D51="",VLOOKUP(D78,NEA_PS,VLOOKUP(C78,MAT_NEA,2,FALSE),FALSE),HLOOKUP(C78,'Données d''entrée'!$B$632:$E$639,2,FALSE)),0)</f>
        <v>0</v>
      </c>
      <c r="F78" s="76">
        <f>IF(D51&lt;&gt;"",HLOOKUP($C78,'Données d''entrée'!$B$632:$E$639,3,FALSE),0)</f>
        <v>0</v>
      </c>
      <c r="G78" s="76">
        <f>IF(E51&lt;&gt;"",HLOOKUP($C78,'Données d''entrée'!$B$632:$E$639,4,FALSE),0)</f>
        <v>0</v>
      </c>
      <c r="H78" s="76" t="str">
        <f>IF(ISERROR((E78*Exploitation!C33+'Synthèse des émissions'!F78*Exploitation!D33+'Synthèse des émissions'!G78*Exploitation!E33)/(Exploitation!C33+Exploitation!D33+Exploitation!E33)),"",(E78*Exploitation!C33+'Synthèse des émissions'!F78*Exploitation!D33+'Synthèse des émissions'!G78*Exploitation!E33)/(Exploitation!C33+Exploitation!D33+Exploitation!E33))</f>
        <v/>
      </c>
      <c r="I78" s="76">
        <f>IF(G51&lt;&gt;"",HLOOKUP($C78,'Données d''entrée'!$B$632:$E$639,5,FALSE),0)</f>
        <v>0</v>
      </c>
      <c r="J78" s="76">
        <f>IF(H51&lt;&gt;"",HLOOKUP($C78,'Données d''entrée'!$B$632:$E$639,6,FALSE),0)</f>
        <v>0</v>
      </c>
      <c r="K78" s="76">
        <f>IF(I51&lt;&gt;"",HLOOKUP($C78,'Données d''entrée'!$B$632:$E$639,8,FALSE),0)</f>
        <v>0</v>
      </c>
      <c r="L78" s="76" t="str">
        <f>IF(ISERROR((I78*Exploitation!F33+J78*(Exploitation!G33+Exploitation!H33)+K78*Exploitation!I33)/(Exploitation!F33+Exploitation!G33+Exploitation!H33+Exploitation!I33)),"",(I78*Exploitation!F33+J78*(Exploitation!G33+Exploitation!H33)+K78*Exploitation!I33)/(Exploitation!F33+Exploitation!G33+Exploitation!H33+Exploitation!I33))</f>
        <v/>
      </c>
      <c r="M78" s="366"/>
      <c r="N78" s="366"/>
    </row>
    <row r="79" spans="2:14" s="12" customFormat="1" x14ac:dyDescent="0.35">
      <c r="B79" s="75" t="str">
        <f t="shared" si="0"/>
        <v/>
      </c>
      <c r="C79" s="366"/>
      <c r="D79" s="366"/>
      <c r="E79" s="76">
        <f>IF(C52&lt;&gt;"",IF(D52="",VLOOKUP(D79,NEA_PS,VLOOKUP(C79,MAT_NEA,2,FALSE),FALSE),HLOOKUP(C79,'Données d''entrée'!$B$632:$E$639,2,FALSE)),0)</f>
        <v>0</v>
      </c>
      <c r="F79" s="76">
        <f>IF(D52&lt;&gt;"",HLOOKUP($C79,'Données d''entrée'!$B$632:$E$639,3,FALSE),0)</f>
        <v>0</v>
      </c>
      <c r="G79" s="76">
        <f>IF(E52&lt;&gt;"",HLOOKUP($C79,'Données d''entrée'!$B$632:$E$639,4,FALSE),0)</f>
        <v>0</v>
      </c>
      <c r="H79" s="76" t="str">
        <f>IF(ISERROR((E79*Exploitation!C34+'Synthèse des émissions'!F79*Exploitation!D34+'Synthèse des émissions'!G79*Exploitation!E34)/(Exploitation!C34+Exploitation!D34+Exploitation!E34)),"",(E79*Exploitation!C34+'Synthèse des émissions'!F79*Exploitation!D34+'Synthèse des émissions'!G79*Exploitation!E34)/(Exploitation!C34+Exploitation!D34+Exploitation!E34))</f>
        <v/>
      </c>
      <c r="I79" s="76">
        <f>IF(G52&lt;&gt;"",HLOOKUP($C79,'Données d''entrée'!$B$632:$E$639,5,FALSE),0)</f>
        <v>0</v>
      </c>
      <c r="J79" s="76">
        <f>IF(H52&lt;&gt;"",HLOOKUP($C79,'Données d''entrée'!$B$632:$E$639,6,FALSE),0)</f>
        <v>0</v>
      </c>
      <c r="K79" s="76">
        <f>IF(I52&lt;&gt;"",HLOOKUP($C79,'Données d''entrée'!$B$632:$E$639,8,FALSE),0)</f>
        <v>0</v>
      </c>
      <c r="L79" s="76" t="str">
        <f>IF(ISERROR((I79*Exploitation!F34+J79*(Exploitation!G34+Exploitation!H34)+K79*Exploitation!I34)/(Exploitation!F34+Exploitation!G34+Exploitation!H34+Exploitation!I34)),"",(I79*Exploitation!F34+J79*(Exploitation!G34+Exploitation!H34)+K79*Exploitation!I34)/(Exploitation!F34+Exploitation!G34+Exploitation!H34+Exploitation!I34))</f>
        <v/>
      </c>
      <c r="M79" s="366"/>
      <c r="N79" s="366"/>
    </row>
    <row r="80" spans="2:14" s="12" customFormat="1" x14ac:dyDescent="0.35"/>
    <row r="81" spans="1:19" s="12" customFormat="1" x14ac:dyDescent="0.35"/>
    <row r="82" spans="1:19" ht="18.5" x14ac:dyDescent="0.45">
      <c r="A82" s="74" t="s">
        <v>753</v>
      </c>
      <c r="B82" s="12"/>
      <c r="C82" s="12"/>
      <c r="D82" s="12"/>
      <c r="E82" s="12"/>
      <c r="F82" s="12"/>
      <c r="G82" s="12"/>
      <c r="H82" s="12"/>
      <c r="I82" s="12"/>
      <c r="J82" s="12"/>
      <c r="S82" s="12"/>
    </row>
    <row r="83" spans="1:19" x14ac:dyDescent="0.35">
      <c r="A83" s="12"/>
      <c r="H83" s="12"/>
      <c r="I83" s="12"/>
      <c r="J83" s="12"/>
      <c r="S83" s="12"/>
    </row>
    <row r="84" spans="1:19" ht="14.5" customHeight="1" x14ac:dyDescent="0.35">
      <c r="A84" s="12"/>
      <c r="G84" s="362"/>
    </row>
    <row r="85" spans="1:19" ht="62.5" customHeight="1" x14ac:dyDescent="0.35">
      <c r="A85" s="12"/>
      <c r="B85" s="356" t="s">
        <v>122</v>
      </c>
      <c r="C85" s="346" t="s">
        <v>730</v>
      </c>
      <c r="D85" s="346" t="s">
        <v>767</v>
      </c>
      <c r="E85" s="346" t="s">
        <v>731</v>
      </c>
      <c r="F85" s="346" t="s">
        <v>732</v>
      </c>
      <c r="G85" s="346" t="s">
        <v>733</v>
      </c>
      <c r="H85" s="346" t="s">
        <v>734</v>
      </c>
      <c r="I85" s="369" t="s">
        <v>19</v>
      </c>
    </row>
    <row r="86" spans="1:19" x14ac:dyDescent="0.35">
      <c r="A86" s="12"/>
      <c r="B86" s="75" t="str">
        <f>IF(Exploitation!B15="","",Exploitation!B15)</f>
        <v/>
      </c>
      <c r="C86" s="361" t="str">
        <f>IF((Emissions!I100+Emissions!J100)*17/14=0,"",(Emissions!I100+Emissions!J100)*17/14)</f>
        <v/>
      </c>
      <c r="D86" s="361" t="str">
        <f>IF((Emissions!K100+Emissions!L100)*17/14=0,"",(Emissions!K100+Emissions!L100)*17/14)</f>
        <v/>
      </c>
      <c r="E86" s="361" t="str">
        <f>IF((Emissions!M100+Emissions!N100)*17/14=0,"",(Emissions!M100+Emissions!N100)*17/14)</f>
        <v/>
      </c>
      <c r="F86" s="361" t="str">
        <f>IF((Emissions!O100+Emissions!P100)*17/14=0,"",(Emissions!O100+Emissions!P100)*17/14)</f>
        <v/>
      </c>
      <c r="G86" s="361" t="str">
        <f>IF((Emissions!Q100+Emissions!R100+Emissions!S100+Emissions!T100)*17/14=0,"",(Emissions!Q100+Emissions!R100+Emissions!S100+Emissions!T100)*17/14)</f>
        <v/>
      </c>
      <c r="H86" s="361" t="str">
        <f>IF((Emissions!U100+Emissions!V100)*17/14=0,"",(Emissions!U100+Emissions!V100)*17/14)</f>
        <v/>
      </c>
      <c r="I86" s="370">
        <f>SUM(C86:H86)</f>
        <v>0</v>
      </c>
    </row>
    <row r="87" spans="1:19" x14ac:dyDescent="0.35">
      <c r="A87" s="12"/>
      <c r="B87" s="75" t="str">
        <f>IF(Exploitation!B16="","",Exploitation!B16)</f>
        <v/>
      </c>
      <c r="C87" s="361" t="str">
        <f>IF((Emissions!I101+Emissions!J101)*17/14=0,"",(Emissions!I101+Emissions!J101)*17/14)</f>
        <v/>
      </c>
      <c r="D87" s="361" t="str">
        <f>IF((Emissions!K101+Emissions!L101)*17/14=0,"",(Emissions!K101+Emissions!L101)*17/14)</f>
        <v/>
      </c>
      <c r="E87" s="361" t="str">
        <f>IF((Emissions!M101+Emissions!N101)*17/14=0,"",(Emissions!M101+Emissions!N101)*17/14)</f>
        <v/>
      </c>
      <c r="F87" s="361" t="str">
        <f>IF((Emissions!O101+Emissions!P101)*17/14=0,"",(Emissions!O101+Emissions!P101)*17/14)</f>
        <v/>
      </c>
      <c r="G87" s="361" t="str">
        <f>IF((Emissions!Q101+Emissions!R101+Emissions!S101+Emissions!T101)*17/14=0,"",(Emissions!Q101+Emissions!R101+Emissions!S101+Emissions!T101)*17/14)</f>
        <v/>
      </c>
      <c r="H87" s="361" t="str">
        <f>IF((Emissions!U101+Emissions!V101)*17/14=0,"",(Emissions!U101+Emissions!V101)*17/14)</f>
        <v/>
      </c>
      <c r="I87" s="370">
        <f t="shared" ref="I87:I105" si="1">SUM(C87:H87)</f>
        <v>0</v>
      </c>
    </row>
    <row r="88" spans="1:19" x14ac:dyDescent="0.35">
      <c r="A88" s="12"/>
      <c r="B88" s="75" t="str">
        <f>IF(Exploitation!B17="","",Exploitation!B17)</f>
        <v/>
      </c>
      <c r="C88" s="361" t="str">
        <f>IF((Emissions!I102+Emissions!J102)*17/14=0,"",(Emissions!I102+Emissions!J102)*17/14)</f>
        <v/>
      </c>
      <c r="D88" s="361" t="str">
        <f>IF((Emissions!K102+Emissions!L102)*17/14=0,"",(Emissions!K102+Emissions!L102)*17/14)</f>
        <v/>
      </c>
      <c r="E88" s="361" t="str">
        <f>IF((Emissions!M102+Emissions!N102)*17/14=0,"",(Emissions!M102+Emissions!N102)*17/14)</f>
        <v/>
      </c>
      <c r="F88" s="361" t="str">
        <f>IF((Emissions!O102+Emissions!P102)*17/14=0,"",(Emissions!O102+Emissions!P102)*17/14)</f>
        <v/>
      </c>
      <c r="G88" s="361" t="str">
        <f>IF((Emissions!Q102+Emissions!R102+Emissions!S102+Emissions!T102)*17/14=0,"",(Emissions!Q102+Emissions!R102+Emissions!S102+Emissions!T102)*17/14)</f>
        <v/>
      </c>
      <c r="H88" s="361" t="str">
        <f>IF((Emissions!U102+Emissions!V102)*17/14=0,"",(Emissions!U102+Emissions!V102)*17/14)</f>
        <v/>
      </c>
      <c r="I88" s="370">
        <f t="shared" si="1"/>
        <v>0</v>
      </c>
    </row>
    <row r="89" spans="1:19" x14ac:dyDescent="0.35">
      <c r="A89" s="12"/>
      <c r="B89" s="75" t="str">
        <f>IF(Exploitation!B18="","",Exploitation!B18)</f>
        <v/>
      </c>
      <c r="C89" s="361" t="str">
        <f>IF((Emissions!I103+Emissions!J103)*17/14=0,"",(Emissions!I103+Emissions!J103)*17/14)</f>
        <v/>
      </c>
      <c r="D89" s="361" t="str">
        <f>IF((Emissions!K103+Emissions!L103)*17/14=0,"",(Emissions!K103+Emissions!L103)*17/14)</f>
        <v/>
      </c>
      <c r="E89" s="361" t="str">
        <f>IF((Emissions!M103+Emissions!N103)*17/14=0,"",(Emissions!M103+Emissions!N103)*17/14)</f>
        <v/>
      </c>
      <c r="F89" s="361" t="str">
        <f>IF((Emissions!O103+Emissions!P103)*17/14=0,"",(Emissions!O103+Emissions!P103)*17/14)</f>
        <v/>
      </c>
      <c r="G89" s="361" t="str">
        <f>IF((Emissions!Q103+Emissions!R103+Emissions!S103+Emissions!T103)*17/14=0,"",(Emissions!Q103+Emissions!R103+Emissions!S103+Emissions!T103)*17/14)</f>
        <v/>
      </c>
      <c r="H89" s="361" t="str">
        <f>IF((Emissions!U103+Emissions!V103)*17/14=0,"",(Emissions!U103+Emissions!V103)*17/14)</f>
        <v/>
      </c>
      <c r="I89" s="370">
        <f t="shared" si="1"/>
        <v>0</v>
      </c>
    </row>
    <row r="90" spans="1:19" x14ac:dyDescent="0.35">
      <c r="A90" s="12"/>
      <c r="B90" s="75" t="str">
        <f>IF(Exploitation!B19="","",Exploitation!B19)</f>
        <v/>
      </c>
      <c r="C90" s="361" t="str">
        <f>IF((Emissions!I104+Emissions!J104)*17/14=0,"",(Emissions!I104+Emissions!J104)*17/14)</f>
        <v/>
      </c>
      <c r="D90" s="361" t="str">
        <f>IF((Emissions!K104+Emissions!L104)*17/14=0,"",(Emissions!K104+Emissions!L104)*17/14)</f>
        <v/>
      </c>
      <c r="E90" s="361" t="str">
        <f>IF((Emissions!M104+Emissions!N104)*17/14=0,"",(Emissions!M104+Emissions!N104)*17/14)</f>
        <v/>
      </c>
      <c r="F90" s="361" t="str">
        <f>IF((Emissions!O104+Emissions!P104)*17/14=0,"",(Emissions!O104+Emissions!P104)*17/14)</f>
        <v/>
      </c>
      <c r="G90" s="361" t="str">
        <f>IF((Emissions!Q104+Emissions!R104+Emissions!S104+Emissions!T104)*17/14=0,"",(Emissions!Q104+Emissions!R104+Emissions!S104+Emissions!T104)*17/14)</f>
        <v/>
      </c>
      <c r="H90" s="361" t="str">
        <f>IF((Emissions!U104+Emissions!V104)*17/14=0,"",(Emissions!U104+Emissions!V104)*17/14)</f>
        <v/>
      </c>
      <c r="I90" s="370">
        <f t="shared" si="1"/>
        <v>0</v>
      </c>
    </row>
    <row r="91" spans="1:19" x14ac:dyDescent="0.35">
      <c r="A91" s="12"/>
      <c r="B91" s="75" t="str">
        <f>IF(Exploitation!B20="","",Exploitation!B20)</f>
        <v/>
      </c>
      <c r="C91" s="361" t="str">
        <f>IF((Emissions!I105+Emissions!J105)*17/14=0,"",(Emissions!I105+Emissions!J105)*17/14)</f>
        <v/>
      </c>
      <c r="D91" s="361" t="str">
        <f>IF((Emissions!K105+Emissions!L105)*17/14=0,"",(Emissions!K105+Emissions!L105)*17/14)</f>
        <v/>
      </c>
      <c r="E91" s="361" t="str">
        <f>IF((Emissions!M105+Emissions!N105)*17/14=0,"",(Emissions!M105+Emissions!N105)*17/14)</f>
        <v/>
      </c>
      <c r="F91" s="361" t="str">
        <f>IF((Emissions!O105+Emissions!P105)*17/14=0,"",(Emissions!O105+Emissions!P105)*17/14)</f>
        <v/>
      </c>
      <c r="G91" s="361" t="str">
        <f>IF((Emissions!Q105+Emissions!R105+Emissions!S105+Emissions!T105)*17/14=0,"",(Emissions!Q105+Emissions!R105+Emissions!S105+Emissions!T105)*17/14)</f>
        <v/>
      </c>
      <c r="H91" s="361" t="str">
        <f>IF((Emissions!U105+Emissions!V105)*17/14=0,"",(Emissions!U105+Emissions!V105)*17/14)</f>
        <v/>
      </c>
      <c r="I91" s="370">
        <f t="shared" si="1"/>
        <v>0</v>
      </c>
    </row>
    <row r="92" spans="1:19" x14ac:dyDescent="0.35">
      <c r="A92" s="12"/>
      <c r="B92" s="75" t="str">
        <f>IF(Exploitation!B21="","",Exploitation!B21)</f>
        <v/>
      </c>
      <c r="C92" s="361" t="str">
        <f>IF((Emissions!I106+Emissions!J106)*17/14=0,"",(Emissions!I106+Emissions!J106)*17/14)</f>
        <v/>
      </c>
      <c r="D92" s="361" t="str">
        <f>IF((Emissions!K106+Emissions!L106)*17/14=0,"",(Emissions!K106+Emissions!L106)*17/14)</f>
        <v/>
      </c>
      <c r="E92" s="361" t="str">
        <f>IF((Emissions!M106+Emissions!N106)*17/14=0,"",(Emissions!M106+Emissions!N106)*17/14)</f>
        <v/>
      </c>
      <c r="F92" s="361" t="str">
        <f>IF((Emissions!O106+Emissions!P106)*17/14=0,"",(Emissions!O106+Emissions!P106)*17/14)</f>
        <v/>
      </c>
      <c r="G92" s="361" t="str">
        <f>IF((Emissions!Q106+Emissions!R106+Emissions!S106+Emissions!T106)*17/14=0,"",(Emissions!Q106+Emissions!R106+Emissions!S106+Emissions!T106)*17/14)</f>
        <v/>
      </c>
      <c r="H92" s="361" t="str">
        <f>IF((Emissions!U106+Emissions!V106)*17/14=0,"",(Emissions!U106+Emissions!V106)*17/14)</f>
        <v/>
      </c>
      <c r="I92" s="370">
        <f t="shared" si="1"/>
        <v>0</v>
      </c>
    </row>
    <row r="93" spans="1:19" x14ac:dyDescent="0.35">
      <c r="A93" s="12"/>
      <c r="B93" s="75" t="str">
        <f>IF(Exploitation!B22="","",Exploitation!B22)</f>
        <v/>
      </c>
      <c r="C93" s="361" t="str">
        <f>IF((Emissions!I107+Emissions!J107)*17/14=0,"",(Emissions!I107+Emissions!J107)*17/14)</f>
        <v/>
      </c>
      <c r="D93" s="361" t="str">
        <f>IF((Emissions!K107+Emissions!L107)*17/14=0,"",(Emissions!K107+Emissions!L107)*17/14)</f>
        <v/>
      </c>
      <c r="E93" s="361" t="str">
        <f>IF((Emissions!M107+Emissions!N107)*17/14=0,"",(Emissions!M107+Emissions!N107)*17/14)</f>
        <v/>
      </c>
      <c r="F93" s="361" t="str">
        <f>IF((Emissions!O107+Emissions!P107)*17/14=0,"",(Emissions!O107+Emissions!P107)*17/14)</f>
        <v/>
      </c>
      <c r="G93" s="361" t="str">
        <f>IF((Emissions!Q107+Emissions!R107+Emissions!S107+Emissions!T107)*17/14=0,"",(Emissions!Q107+Emissions!R107+Emissions!S107+Emissions!T107)*17/14)</f>
        <v/>
      </c>
      <c r="H93" s="361" t="str">
        <f>IF((Emissions!U107+Emissions!V107)*17/14=0,"",(Emissions!U107+Emissions!V107)*17/14)</f>
        <v/>
      </c>
      <c r="I93" s="370">
        <f t="shared" si="1"/>
        <v>0</v>
      </c>
    </row>
    <row r="94" spans="1:19" x14ac:dyDescent="0.35">
      <c r="A94" s="12"/>
      <c r="B94" s="75" t="str">
        <f>IF(Exploitation!B23="","",Exploitation!B23)</f>
        <v/>
      </c>
      <c r="C94" s="361" t="str">
        <f>IF((Emissions!I108+Emissions!J108)*17/14=0,"",(Emissions!I108+Emissions!J108)*17/14)</f>
        <v/>
      </c>
      <c r="D94" s="361" t="str">
        <f>IF((Emissions!K108+Emissions!L108)*17/14=0,"",(Emissions!K108+Emissions!L108)*17/14)</f>
        <v/>
      </c>
      <c r="E94" s="361" t="str">
        <f>IF((Emissions!M108+Emissions!N108)*17/14=0,"",(Emissions!M108+Emissions!N108)*17/14)</f>
        <v/>
      </c>
      <c r="F94" s="361" t="str">
        <f>IF((Emissions!O108+Emissions!P108)*17/14=0,"",(Emissions!O108+Emissions!P108)*17/14)</f>
        <v/>
      </c>
      <c r="G94" s="361" t="str">
        <f>IF((Emissions!Q108+Emissions!R108+Emissions!S108+Emissions!T108)*17/14=0,"",(Emissions!Q108+Emissions!R108+Emissions!S108+Emissions!T108)*17/14)</f>
        <v/>
      </c>
      <c r="H94" s="361" t="str">
        <f>IF((Emissions!U108+Emissions!V108)*17/14=0,"",(Emissions!U108+Emissions!V108)*17/14)</f>
        <v/>
      </c>
      <c r="I94" s="370">
        <f t="shared" si="1"/>
        <v>0</v>
      </c>
    </row>
    <row r="95" spans="1:19" x14ac:dyDescent="0.35">
      <c r="A95" s="12"/>
      <c r="B95" s="75" t="str">
        <f>IF(Exploitation!B24="","",Exploitation!B24)</f>
        <v/>
      </c>
      <c r="C95" s="361" t="str">
        <f>IF((Emissions!I109+Emissions!J109)*17/14=0,"",(Emissions!I109+Emissions!J109)*17/14)</f>
        <v/>
      </c>
      <c r="D95" s="361" t="str">
        <f>IF((Emissions!K109+Emissions!L109)*17/14=0,"",(Emissions!K109+Emissions!L109)*17/14)</f>
        <v/>
      </c>
      <c r="E95" s="361" t="str">
        <f>IF((Emissions!M109+Emissions!N109)*17/14=0,"",(Emissions!M109+Emissions!N109)*17/14)</f>
        <v/>
      </c>
      <c r="F95" s="361" t="str">
        <f>IF((Emissions!O109+Emissions!P109)*17/14=0,"",(Emissions!O109+Emissions!P109)*17/14)</f>
        <v/>
      </c>
      <c r="G95" s="361" t="str">
        <f>IF((Emissions!Q109+Emissions!R109+Emissions!S109+Emissions!T109)*17/14=0,"",(Emissions!Q109+Emissions!R109+Emissions!S109+Emissions!T109)*17/14)</f>
        <v/>
      </c>
      <c r="H95" s="361" t="str">
        <f>IF((Emissions!U109+Emissions!V109)*17/14=0,"",(Emissions!U109+Emissions!V109)*17/14)</f>
        <v/>
      </c>
      <c r="I95" s="370">
        <f t="shared" si="1"/>
        <v>0</v>
      </c>
    </row>
    <row r="96" spans="1:19" x14ac:dyDescent="0.35">
      <c r="A96" s="12"/>
      <c r="B96" s="75" t="str">
        <f>IF(Exploitation!B25="","",Exploitation!B25)</f>
        <v/>
      </c>
      <c r="C96" s="361" t="str">
        <f>IF((Emissions!I110+Emissions!J110)*17/14=0,"",(Emissions!I110+Emissions!J110)*17/14)</f>
        <v/>
      </c>
      <c r="D96" s="361" t="str">
        <f>IF((Emissions!K110+Emissions!L110)*17/14=0,"",(Emissions!K110+Emissions!L110)*17/14)</f>
        <v/>
      </c>
      <c r="E96" s="361" t="str">
        <f>IF((Emissions!M110+Emissions!N110)*17/14=0,"",(Emissions!M110+Emissions!N110)*17/14)</f>
        <v/>
      </c>
      <c r="F96" s="361" t="str">
        <f>IF((Emissions!O110+Emissions!P110)*17/14=0,"",(Emissions!O110+Emissions!P110)*17/14)</f>
        <v/>
      </c>
      <c r="G96" s="361" t="str">
        <f>IF((Emissions!Q110+Emissions!R110+Emissions!S110+Emissions!T110)*17/14=0,"",(Emissions!Q110+Emissions!R110+Emissions!S110+Emissions!T110)*17/14)</f>
        <v/>
      </c>
      <c r="H96" s="361" t="str">
        <f>IF((Emissions!U110+Emissions!V110)*17/14=0,"",(Emissions!U110+Emissions!V110)*17/14)</f>
        <v/>
      </c>
      <c r="I96" s="370">
        <f t="shared" si="1"/>
        <v>0</v>
      </c>
    </row>
    <row r="97" spans="1:10" x14ac:dyDescent="0.35">
      <c r="A97" s="12"/>
      <c r="B97" s="75" t="str">
        <f>IF(Exploitation!B26="","",Exploitation!B26)</f>
        <v/>
      </c>
      <c r="C97" s="361" t="str">
        <f>IF((Emissions!I111+Emissions!J111)*17/14=0,"",(Emissions!I111+Emissions!J111)*17/14)</f>
        <v/>
      </c>
      <c r="D97" s="361" t="str">
        <f>IF((Emissions!K111+Emissions!L111)*17/14=0,"",(Emissions!K111+Emissions!L111)*17/14)</f>
        <v/>
      </c>
      <c r="E97" s="361" t="str">
        <f>IF((Emissions!M111+Emissions!N111)*17/14=0,"",(Emissions!M111+Emissions!N111)*17/14)</f>
        <v/>
      </c>
      <c r="F97" s="361" t="str">
        <f>IF((Emissions!O111+Emissions!P111)*17/14=0,"",(Emissions!O111+Emissions!P111)*17/14)</f>
        <v/>
      </c>
      <c r="G97" s="361" t="str">
        <f>IF((Emissions!Q111+Emissions!R111+Emissions!S111+Emissions!T111)*17/14=0,"",(Emissions!Q111+Emissions!R111+Emissions!S111+Emissions!T111)*17/14)</f>
        <v/>
      </c>
      <c r="H97" s="361" t="str">
        <f>IF((Emissions!U111+Emissions!V111)*17/14=0,"",(Emissions!U111+Emissions!V111)*17/14)</f>
        <v/>
      </c>
      <c r="I97" s="370">
        <f t="shared" si="1"/>
        <v>0</v>
      </c>
    </row>
    <row r="98" spans="1:10" x14ac:dyDescent="0.35">
      <c r="A98" s="12"/>
      <c r="B98" s="75" t="str">
        <f>IF(Exploitation!B27="","",Exploitation!B27)</f>
        <v/>
      </c>
      <c r="C98" s="361" t="str">
        <f>IF((Emissions!I112+Emissions!J112)*17/14=0,"",(Emissions!I112+Emissions!J112)*17/14)</f>
        <v/>
      </c>
      <c r="D98" s="361" t="str">
        <f>IF((Emissions!K112+Emissions!L112)*17/14=0,"",(Emissions!K112+Emissions!L112)*17/14)</f>
        <v/>
      </c>
      <c r="E98" s="361" t="str">
        <f>IF((Emissions!M112+Emissions!N112)*17/14=0,"",(Emissions!M112+Emissions!N112)*17/14)</f>
        <v/>
      </c>
      <c r="F98" s="361" t="str">
        <f>IF((Emissions!O112+Emissions!P112)*17/14=0,"",(Emissions!O112+Emissions!P112)*17/14)</f>
        <v/>
      </c>
      <c r="G98" s="361" t="str">
        <f>IF((Emissions!Q112+Emissions!R112+Emissions!S112+Emissions!T112)*17/14=0,"",(Emissions!Q112+Emissions!R112+Emissions!S112+Emissions!T112)*17/14)</f>
        <v/>
      </c>
      <c r="H98" s="361" t="str">
        <f>IF((Emissions!U112+Emissions!V112)*17/14=0,"",(Emissions!U112+Emissions!V112)*17/14)</f>
        <v/>
      </c>
      <c r="I98" s="370">
        <f t="shared" si="1"/>
        <v>0</v>
      </c>
    </row>
    <row r="99" spans="1:10" x14ac:dyDescent="0.35">
      <c r="A99" s="12"/>
      <c r="B99" s="75" t="str">
        <f>IF(Exploitation!B28="","",Exploitation!B28)</f>
        <v/>
      </c>
      <c r="C99" s="361" t="str">
        <f>IF((Emissions!I113+Emissions!J113)*17/14=0,"",(Emissions!I113+Emissions!J113)*17/14)</f>
        <v/>
      </c>
      <c r="D99" s="361" t="str">
        <f>IF((Emissions!K113+Emissions!L113)*17/14=0,"",(Emissions!K113+Emissions!L113)*17/14)</f>
        <v/>
      </c>
      <c r="E99" s="361" t="str">
        <f>IF((Emissions!M113+Emissions!N113)*17/14=0,"",(Emissions!M113+Emissions!N113)*17/14)</f>
        <v/>
      </c>
      <c r="F99" s="361" t="str">
        <f>IF((Emissions!O113+Emissions!P113)*17/14=0,"",(Emissions!O113+Emissions!P113)*17/14)</f>
        <v/>
      </c>
      <c r="G99" s="361" t="str">
        <f>IF((Emissions!Q113+Emissions!R113+Emissions!S113+Emissions!T113)*17/14=0,"",(Emissions!Q113+Emissions!R113+Emissions!S113+Emissions!T113)*17/14)</f>
        <v/>
      </c>
      <c r="H99" s="361" t="str">
        <f>IF((Emissions!U113+Emissions!V113)*17/14=0,"",(Emissions!U113+Emissions!V113)*17/14)</f>
        <v/>
      </c>
      <c r="I99" s="370">
        <f t="shared" si="1"/>
        <v>0</v>
      </c>
    </row>
    <row r="100" spans="1:10" x14ac:dyDescent="0.35">
      <c r="A100" s="12"/>
      <c r="B100" s="75" t="str">
        <f>IF(Exploitation!B29="","",Exploitation!B29)</f>
        <v/>
      </c>
      <c r="C100" s="361" t="str">
        <f>IF((Emissions!I114+Emissions!J114)*17/14=0,"",(Emissions!I114+Emissions!J114)*17/14)</f>
        <v/>
      </c>
      <c r="D100" s="361" t="str">
        <f>IF((Emissions!K114+Emissions!L114)*17/14=0,"",(Emissions!K114+Emissions!L114)*17/14)</f>
        <v/>
      </c>
      <c r="E100" s="361" t="str">
        <f>IF((Emissions!M114+Emissions!N114)*17/14=0,"",(Emissions!M114+Emissions!N114)*17/14)</f>
        <v/>
      </c>
      <c r="F100" s="361" t="str">
        <f>IF((Emissions!O114+Emissions!P114)*17/14=0,"",(Emissions!O114+Emissions!P114)*17/14)</f>
        <v/>
      </c>
      <c r="G100" s="361" t="str">
        <f>IF((Emissions!Q114+Emissions!R114+Emissions!S114+Emissions!T114)*17/14=0,"",(Emissions!Q114+Emissions!R114+Emissions!S114+Emissions!T114)*17/14)</f>
        <v/>
      </c>
      <c r="H100" s="361" t="str">
        <f>IF((Emissions!U114+Emissions!V114)*17/14=0,"",(Emissions!U114+Emissions!V114)*17/14)</f>
        <v/>
      </c>
      <c r="I100" s="370">
        <f t="shared" si="1"/>
        <v>0</v>
      </c>
    </row>
    <row r="101" spans="1:10" x14ac:dyDescent="0.35">
      <c r="A101" s="12"/>
      <c r="B101" s="75" t="str">
        <f>IF(Exploitation!B30="","",Exploitation!B30)</f>
        <v/>
      </c>
      <c r="C101" s="361" t="str">
        <f>IF((Emissions!I115+Emissions!J115)*17/14=0,"",(Emissions!I115+Emissions!J115)*17/14)</f>
        <v/>
      </c>
      <c r="D101" s="361" t="str">
        <f>IF((Emissions!K115+Emissions!L115)*17/14=0,"",(Emissions!K115+Emissions!L115)*17/14)</f>
        <v/>
      </c>
      <c r="E101" s="361" t="str">
        <f>IF((Emissions!M115+Emissions!N115)*17/14=0,"",(Emissions!M115+Emissions!N115)*17/14)</f>
        <v/>
      </c>
      <c r="F101" s="361" t="str">
        <f>IF((Emissions!O115+Emissions!P115)*17/14=0,"",(Emissions!O115+Emissions!P115)*17/14)</f>
        <v/>
      </c>
      <c r="G101" s="361" t="str">
        <f>IF((Emissions!Q115+Emissions!R115+Emissions!S115+Emissions!T115)*17/14=0,"",(Emissions!Q115+Emissions!R115+Emissions!S115+Emissions!T115)*17/14)</f>
        <v/>
      </c>
      <c r="H101" s="361" t="str">
        <f>IF((Emissions!U115+Emissions!V115)*17/14=0,"",(Emissions!U115+Emissions!V115)*17/14)</f>
        <v/>
      </c>
      <c r="I101" s="370">
        <f t="shared" si="1"/>
        <v>0</v>
      </c>
    </row>
    <row r="102" spans="1:10" x14ac:dyDescent="0.35">
      <c r="A102" s="12"/>
      <c r="B102" s="75" t="str">
        <f>IF(Exploitation!B31="","",Exploitation!B31)</f>
        <v/>
      </c>
      <c r="C102" s="361" t="str">
        <f>IF((Emissions!I116+Emissions!J116)*17/14=0,"",(Emissions!I116+Emissions!J116)*17/14)</f>
        <v/>
      </c>
      <c r="D102" s="361" t="str">
        <f>IF((Emissions!K116+Emissions!L116)*17/14=0,"",(Emissions!K116+Emissions!L116)*17/14)</f>
        <v/>
      </c>
      <c r="E102" s="361" t="str">
        <f>IF((Emissions!M116+Emissions!N116)*17/14=0,"",(Emissions!M116+Emissions!N116)*17/14)</f>
        <v/>
      </c>
      <c r="F102" s="361" t="str">
        <f>IF((Emissions!O116+Emissions!P116)*17/14=0,"",(Emissions!O116+Emissions!P116)*17/14)</f>
        <v/>
      </c>
      <c r="G102" s="361" t="str">
        <f>IF((Emissions!Q116+Emissions!R116+Emissions!S116+Emissions!T116)*17/14=0,"",(Emissions!Q116+Emissions!R116+Emissions!S116+Emissions!T116)*17/14)</f>
        <v/>
      </c>
      <c r="H102" s="361" t="str">
        <f>IF((Emissions!U116+Emissions!V116)*17/14=0,"",(Emissions!U116+Emissions!V116)*17/14)</f>
        <v/>
      </c>
      <c r="I102" s="370">
        <f t="shared" si="1"/>
        <v>0</v>
      </c>
    </row>
    <row r="103" spans="1:10" x14ac:dyDescent="0.35">
      <c r="A103" s="12"/>
      <c r="B103" s="75" t="str">
        <f>IF(Exploitation!B32="","",Exploitation!B32)</f>
        <v/>
      </c>
      <c r="C103" s="361" t="str">
        <f>IF((Emissions!I117+Emissions!J117)*17/14=0,"",(Emissions!I117+Emissions!J117)*17/14)</f>
        <v/>
      </c>
      <c r="D103" s="361" t="str">
        <f>IF((Emissions!K117+Emissions!L117)*17/14=0,"",(Emissions!K117+Emissions!L117)*17/14)</f>
        <v/>
      </c>
      <c r="E103" s="361" t="str">
        <f>IF((Emissions!M117+Emissions!N117)*17/14=0,"",(Emissions!M117+Emissions!N117)*17/14)</f>
        <v/>
      </c>
      <c r="F103" s="361" t="str">
        <f>IF((Emissions!O117+Emissions!P117)*17/14=0,"",(Emissions!O117+Emissions!P117)*17/14)</f>
        <v/>
      </c>
      <c r="G103" s="361" t="str">
        <f>IF((Emissions!Q117+Emissions!R117+Emissions!S117+Emissions!T117)*17/14=0,"",(Emissions!Q117+Emissions!R117+Emissions!S117+Emissions!T117)*17/14)</f>
        <v/>
      </c>
      <c r="H103" s="361" t="str">
        <f>IF((Emissions!U117+Emissions!V117)*17/14=0,"",(Emissions!U117+Emissions!V117)*17/14)</f>
        <v/>
      </c>
      <c r="I103" s="370">
        <f t="shared" si="1"/>
        <v>0</v>
      </c>
    </row>
    <row r="104" spans="1:10" x14ac:dyDescent="0.35">
      <c r="A104" s="12"/>
      <c r="B104" s="75" t="str">
        <f>IF(Exploitation!B33="","",Exploitation!B33)</f>
        <v/>
      </c>
      <c r="C104" s="361" t="str">
        <f>IF((Emissions!I118+Emissions!J118)*17/14=0,"",(Emissions!I118+Emissions!J118)*17/14)</f>
        <v/>
      </c>
      <c r="D104" s="361" t="str">
        <f>IF((Emissions!K118+Emissions!L118)*17/14=0,"",(Emissions!K118+Emissions!L118)*17/14)</f>
        <v/>
      </c>
      <c r="E104" s="361" t="str">
        <f>IF((Emissions!M118+Emissions!N118)*17/14=0,"",(Emissions!M118+Emissions!N118)*17/14)</f>
        <v/>
      </c>
      <c r="F104" s="361" t="str">
        <f>IF((Emissions!O118+Emissions!P118)*17/14=0,"",(Emissions!O118+Emissions!P118)*17/14)</f>
        <v/>
      </c>
      <c r="G104" s="361" t="str">
        <f>IF((Emissions!Q118+Emissions!R118+Emissions!S118+Emissions!T118)*17/14=0,"",(Emissions!Q118+Emissions!R118+Emissions!S118+Emissions!T118)*17/14)</f>
        <v/>
      </c>
      <c r="H104" s="361" t="str">
        <f>IF((Emissions!U118+Emissions!V118)*17/14=0,"",(Emissions!U118+Emissions!V118)*17/14)</f>
        <v/>
      </c>
      <c r="I104" s="370">
        <f t="shared" si="1"/>
        <v>0</v>
      </c>
    </row>
    <row r="105" spans="1:10" x14ac:dyDescent="0.35">
      <c r="A105" s="12"/>
      <c r="B105" s="75" t="str">
        <f>IF(Exploitation!B34="","",Exploitation!B34)</f>
        <v/>
      </c>
      <c r="C105" s="361" t="str">
        <f>IF((Emissions!I119+Emissions!J119)*17/14=0,"",(Emissions!I119+Emissions!J119)*17/14)</f>
        <v/>
      </c>
      <c r="D105" s="361" t="str">
        <f>IF((Emissions!K119+Emissions!L119)*17/14=0,"",(Emissions!K119+Emissions!L119)*17/14)</f>
        <v/>
      </c>
      <c r="E105" s="361" t="str">
        <f>IF((Emissions!M119+Emissions!N119)*17/14=0,"",(Emissions!M119+Emissions!N119)*17/14)</f>
        <v/>
      </c>
      <c r="F105" s="361" t="str">
        <f>IF((Emissions!O119+Emissions!P119)*17/14=0,"",(Emissions!O119+Emissions!P119)*17/14)</f>
        <v/>
      </c>
      <c r="G105" s="361" t="str">
        <f>IF((Emissions!Q119+Emissions!R119+Emissions!S119+Emissions!T119)*17/14=0,"",(Emissions!Q119+Emissions!R119+Emissions!S119+Emissions!T119)*17/14)</f>
        <v/>
      </c>
      <c r="H105" s="361" t="str">
        <f>IF((Emissions!U119+Emissions!V119)*17/14=0,"",(Emissions!U119+Emissions!V119)*17/14)</f>
        <v/>
      </c>
      <c r="I105" s="370">
        <f t="shared" si="1"/>
        <v>0</v>
      </c>
    </row>
    <row r="107" spans="1:10" x14ac:dyDescent="0.35">
      <c r="B107" s="392" t="s">
        <v>19</v>
      </c>
      <c r="C107" s="361">
        <f>SUM(C86:C105)</f>
        <v>0</v>
      </c>
      <c r="D107" s="361">
        <f t="shared" ref="D107:H107" si="2">SUM(D86:D105)</f>
        <v>0</v>
      </c>
      <c r="E107" s="361">
        <f t="shared" si="2"/>
        <v>0</v>
      </c>
      <c r="F107" s="361">
        <f t="shared" si="2"/>
        <v>0</v>
      </c>
      <c r="G107" s="361">
        <f t="shared" si="2"/>
        <v>0</v>
      </c>
      <c r="H107" s="361">
        <f t="shared" si="2"/>
        <v>0</v>
      </c>
      <c r="I107" s="370">
        <f>SUM(C107:H107)</f>
        <v>0</v>
      </c>
    </row>
    <row r="110" spans="1:10" ht="18.5" x14ac:dyDescent="0.45">
      <c r="A110" s="74" t="s">
        <v>827</v>
      </c>
      <c r="B110" s="12"/>
      <c r="C110" s="12"/>
      <c r="D110" s="12"/>
      <c r="E110" s="12"/>
      <c r="F110" s="12"/>
      <c r="G110" s="12"/>
      <c r="H110" s="12"/>
      <c r="I110" s="12"/>
      <c r="J110" s="12"/>
    </row>
    <row r="111" spans="1:10" x14ac:dyDescent="0.35">
      <c r="A111" s="12"/>
      <c r="B111" s="12"/>
      <c r="C111" s="12"/>
      <c r="D111" s="12"/>
      <c r="E111" s="12"/>
      <c r="F111" s="12"/>
      <c r="G111" s="12"/>
      <c r="H111" s="12"/>
      <c r="I111" s="12"/>
      <c r="J111" s="12"/>
    </row>
    <row r="112" spans="1:10" x14ac:dyDescent="0.35">
      <c r="A112" s="12"/>
      <c r="B112" s="12"/>
      <c r="C112" s="561" t="s">
        <v>763</v>
      </c>
      <c r="D112" s="562"/>
      <c r="E112" s="563"/>
      <c r="F112" s="564" t="s">
        <v>699</v>
      </c>
      <c r="G112" s="561" t="s">
        <v>205</v>
      </c>
      <c r="H112" s="562"/>
      <c r="I112" s="563"/>
      <c r="J112" s="564" t="s">
        <v>700</v>
      </c>
    </row>
    <row r="113" spans="1:10" ht="36" x14ac:dyDescent="0.35">
      <c r="A113" s="12"/>
      <c r="B113" s="394" t="s">
        <v>122</v>
      </c>
      <c r="C113" s="346" t="s">
        <v>697</v>
      </c>
      <c r="D113" s="346" t="s">
        <v>764</v>
      </c>
      <c r="E113" s="395" t="s">
        <v>698</v>
      </c>
      <c r="F113" s="565"/>
      <c r="G113" s="345" t="s">
        <v>380</v>
      </c>
      <c r="H113" s="22" t="s">
        <v>381</v>
      </c>
      <c r="I113" s="22" t="s">
        <v>379</v>
      </c>
      <c r="J113" s="565"/>
    </row>
    <row r="114" spans="1:10" x14ac:dyDescent="0.35">
      <c r="A114" s="12"/>
      <c r="B114" s="451" t="str">
        <f>B33</f>
        <v/>
      </c>
      <c r="C114" s="76" t="str">
        <f>IF(ISERROR(C33/Exploitation!C$40),"",C33/Exploitation!C$40)</f>
        <v/>
      </c>
      <c r="D114" s="76" t="str">
        <f>IF(ISERROR(D33/Exploitation!D$40),"",D33/Exploitation!D$40)</f>
        <v/>
      </c>
      <c r="E114" s="76" t="str">
        <f>IF(ISERROR(E33/Exploitation!E$40),"",E33/Exploitation!E$40)</f>
        <v/>
      </c>
      <c r="F114" s="76" t="str">
        <f>IF(ISERROR(F33/((Emissions!$C$18*Emissions!C48*Exploitation!C$40+Emissions!$D$18*Emissions!D48*Exploitation!D$40+Emissions!$E$18*Emissions!E48*Exploitation!E$40)/(Emissions!$C$18*Emissions!C48+Emissions!$D$18*Emissions!D48+Emissions!$E$18*Emissions!E48))),"",F33/((Emissions!$C$18*Emissions!C48*Exploitation!C$40+Emissions!$D$18*Emissions!D48*Exploitation!D$40+Emissions!$E$18*Emissions!E48*Exploitation!E$40)/(Emissions!$C$18*Emissions!C48+Emissions!$D$18*Emissions!D48+Emissions!$E$18*Emissions!E48)))</f>
        <v/>
      </c>
      <c r="G114" s="76" t="str">
        <f>IF(ISERROR(G33/Exploitation!F$40),"",G33/Exploitation!F$40)</f>
        <v/>
      </c>
      <c r="H114" s="76" t="str">
        <f>IF(ISERROR(H33/((Emissions!$G$18*Emissions!G48*Exploitation!G$40+Emissions!$H$18*Emissions!H48*Exploitation!H$40)/(Emissions!$G$18*Emissions!G48+Emissions!$H$18*Emissions!H48))),"",H33/((Emissions!$G$18*Emissions!G48*Exploitation!G$40+Emissions!$H$18*Emissions!H48*Exploitation!H$40)/(Emissions!$G$18*Emissions!G48+Emissions!$H$18*Emissions!H48)))</f>
        <v/>
      </c>
      <c r="I114" s="76" t="str">
        <f>IF(ISERROR(I33/Exploitation!H$40),"",I33/Exploitation!H$40)</f>
        <v/>
      </c>
      <c r="J114" s="76" t="str">
        <f>IF(ISERROR(J33/((Emissions!$F$18*Emissions!F48*Exploitation!F$40+Emissions!$G$18*Emissions!G48*Exploitation!G$40+Emissions!$H$18*Emissions!H48*Exploitation!H$40+Emissions!$I$18*Emissions!I48*Exploitation!I$40)/(Emissions!$F$18*Emissions!F48+Emissions!$G$18*Emissions!G48+Emissions!$H$18*Emissions!H48+Emissions!$I$18*Emissions!I48))),"",J33/((Emissions!$F$18*Emissions!F48*Exploitation!F$40+Emissions!$G$18*Emissions!G48*Exploitation!G$40+Emissions!$H$18*Emissions!H48*Exploitation!H$40+Emissions!$I$18*Emissions!I48*Exploitation!I$40)/(Emissions!$F$18*Emissions!F48+Emissions!$G$18*Emissions!G48+Emissions!$H$18*Emissions!H48+Emissions!$I$18*Emissions!I48)))</f>
        <v/>
      </c>
    </row>
    <row r="115" spans="1:10" x14ac:dyDescent="0.35">
      <c r="A115" s="12"/>
      <c r="B115" s="451" t="str">
        <f t="shared" ref="B115:B133" si="3">B34</f>
        <v/>
      </c>
      <c r="C115" s="76" t="str">
        <f>IF(ISERROR(C34/Exploitation!C$40),"",C34/Exploitation!C$40)</f>
        <v/>
      </c>
      <c r="D115" s="76" t="str">
        <f>IF(ISERROR(D34/Exploitation!D$40),"",D34/Exploitation!D$40)</f>
        <v/>
      </c>
      <c r="E115" s="76" t="str">
        <f>IF(ISERROR(E34/Exploitation!E$40),"",E34/Exploitation!E$40)</f>
        <v/>
      </c>
      <c r="F115" s="76" t="str">
        <f>IF(ISERROR(F34/((Emissions!$C$18*Emissions!C49*Exploitation!C$40+Emissions!$D$18*Emissions!D49*Exploitation!D$40+Emissions!$E$18*Emissions!E49*Exploitation!E$40)/(Emissions!$C$18*Emissions!C49+Emissions!$D$18*Emissions!D49+Emissions!$E$18*Emissions!E49))),"",F34/((Emissions!$C$18*Emissions!C49*Exploitation!C$40+Emissions!$D$18*Emissions!D49*Exploitation!D$40+Emissions!$E$18*Emissions!E49*Exploitation!E$40)/(Emissions!$C$18*Emissions!C49+Emissions!$D$18*Emissions!D49+Emissions!$E$18*Emissions!E49)))</f>
        <v/>
      </c>
      <c r="G115" s="76" t="str">
        <f>IF(ISERROR(G34/Exploitation!F$40),"",G34/Exploitation!F$40)</f>
        <v/>
      </c>
      <c r="H115" s="76" t="str">
        <f>IF(ISERROR(H34/((Emissions!$G$18*Emissions!G49*Exploitation!G$40+Emissions!$H$18*Emissions!H49*Exploitation!H$40)/(Emissions!$G$18*Emissions!G49+Emissions!$H$18*Emissions!H49))),"",H34/((Emissions!$G$18*Emissions!G49*Exploitation!G$40+Emissions!$H$18*Emissions!H49*Exploitation!H$40)/(Emissions!$G$18*Emissions!G49+Emissions!$H$18*Emissions!H49)))</f>
        <v/>
      </c>
      <c r="I115" s="76" t="str">
        <f>IF(ISERROR(I34/Exploitation!H$40),"",I34/Exploitation!H$40)</f>
        <v/>
      </c>
      <c r="J115" s="76" t="str">
        <f>IF(ISERROR(J34/((Emissions!$F$18*Emissions!F49*Exploitation!F$40+Emissions!$G$18*Emissions!G49*Exploitation!G$40+Emissions!$H$18*Emissions!H49*Exploitation!H$40+Emissions!$I$18*Emissions!I49*Exploitation!I$40)/(Emissions!$F$18*Emissions!F49+Emissions!$G$18*Emissions!G49+Emissions!$H$18*Emissions!H49+Emissions!$I$18*Emissions!I49))),"",J34/((Emissions!$F$18*Emissions!F49*Exploitation!F$40+Emissions!$G$18*Emissions!G49*Exploitation!G$40+Emissions!$H$18*Emissions!H49*Exploitation!H$40+Emissions!$I$18*Emissions!I49*Exploitation!I$40)/(Emissions!$F$18*Emissions!F49+Emissions!$G$18*Emissions!G49+Emissions!$H$18*Emissions!H49+Emissions!$I$18*Emissions!I49)))</f>
        <v/>
      </c>
    </row>
    <row r="116" spans="1:10" x14ac:dyDescent="0.35">
      <c r="A116" s="12"/>
      <c r="B116" s="451" t="str">
        <f t="shared" si="3"/>
        <v/>
      </c>
      <c r="C116" s="76" t="str">
        <f>IF(ISERROR(C35/Exploitation!C$40),"",C35/Exploitation!C$40)</f>
        <v/>
      </c>
      <c r="D116" s="76" t="str">
        <f>IF(ISERROR(D35/Exploitation!D$40),"",D35/Exploitation!D$40)</f>
        <v/>
      </c>
      <c r="E116" s="76" t="str">
        <f>IF(ISERROR(E35/Exploitation!E$40),"",E35/Exploitation!E$40)</f>
        <v/>
      </c>
      <c r="F116" s="76" t="str">
        <f>IF(ISERROR(F35/((Emissions!$C$18*Emissions!C50*Exploitation!C$40+Emissions!$D$18*Emissions!D50*Exploitation!D$40+Emissions!$E$18*Emissions!E50*Exploitation!E$40)/(Emissions!$C$18*Emissions!C50+Emissions!$D$18*Emissions!D50+Emissions!$E$18*Emissions!E50))),"",F35/((Emissions!$C$18*Emissions!C50*Exploitation!C$40+Emissions!$D$18*Emissions!D50*Exploitation!D$40+Emissions!$E$18*Emissions!E50*Exploitation!E$40)/(Emissions!$C$18*Emissions!C50+Emissions!$D$18*Emissions!D50+Emissions!$E$18*Emissions!E50)))</f>
        <v/>
      </c>
      <c r="G116" s="76" t="str">
        <f>IF(ISERROR(G35/Exploitation!F$40),"",G35/Exploitation!F$40)</f>
        <v/>
      </c>
      <c r="H116" s="76" t="str">
        <f>IF(ISERROR(H35/((Emissions!$G$18*Emissions!G50*Exploitation!G$40+Emissions!$H$18*Emissions!H50*Exploitation!H$40)/(Emissions!$G$18*Emissions!G50+Emissions!$H$18*Emissions!H50))),"",H35/((Emissions!$G$18*Emissions!G50*Exploitation!G$40+Emissions!$H$18*Emissions!H50*Exploitation!H$40)/(Emissions!$G$18*Emissions!G50+Emissions!$H$18*Emissions!H50)))</f>
        <v/>
      </c>
      <c r="I116" s="76" t="str">
        <f>IF(ISERROR(I35/Exploitation!H$40),"",I35/Exploitation!H$40)</f>
        <v/>
      </c>
      <c r="J116" s="76" t="str">
        <f>IF(ISERROR(J35/((Emissions!$F$18*Emissions!F50*Exploitation!F$40+Emissions!$G$18*Emissions!G50*Exploitation!G$40+Emissions!$H$18*Emissions!H50*Exploitation!H$40+Emissions!$I$18*Emissions!I50*Exploitation!I$40)/(Emissions!$F$18*Emissions!F50+Emissions!$G$18*Emissions!G50+Emissions!$H$18*Emissions!H50+Emissions!$I$18*Emissions!I50))),"",J35/((Emissions!$F$18*Emissions!F50*Exploitation!F$40+Emissions!$G$18*Emissions!G50*Exploitation!G$40+Emissions!$H$18*Emissions!H50*Exploitation!H$40+Emissions!$I$18*Emissions!I50*Exploitation!I$40)/(Emissions!$F$18*Emissions!F50+Emissions!$G$18*Emissions!G50+Emissions!$H$18*Emissions!H50+Emissions!$I$18*Emissions!I50)))</f>
        <v/>
      </c>
    </row>
    <row r="117" spans="1:10" x14ac:dyDescent="0.35">
      <c r="A117" s="12"/>
      <c r="B117" s="451" t="str">
        <f t="shared" si="3"/>
        <v/>
      </c>
      <c r="C117" s="76" t="str">
        <f>IF(ISERROR(C36/Exploitation!C$40),"",C36/Exploitation!C$40)</f>
        <v/>
      </c>
      <c r="D117" s="76" t="str">
        <f>IF(ISERROR(D36/Exploitation!D$40),"",D36/Exploitation!D$40)</f>
        <v/>
      </c>
      <c r="E117" s="76" t="str">
        <f>IF(ISERROR(E36/Exploitation!E$40),"",E36/Exploitation!E$40)</f>
        <v/>
      </c>
      <c r="F117" s="76" t="str">
        <f>IF(ISERROR(F36/((Emissions!$C$18*Emissions!C51*Exploitation!C$40+Emissions!$D$18*Emissions!D51*Exploitation!D$40+Emissions!$E$18*Emissions!E51*Exploitation!E$40)/(Emissions!$C$18*Emissions!C51+Emissions!$D$18*Emissions!D51+Emissions!$E$18*Emissions!E51))),"",F36/((Emissions!$C$18*Emissions!C51*Exploitation!C$40+Emissions!$D$18*Emissions!D51*Exploitation!D$40+Emissions!$E$18*Emissions!E51*Exploitation!E$40)/(Emissions!$C$18*Emissions!C51+Emissions!$D$18*Emissions!D51+Emissions!$E$18*Emissions!E51)))</f>
        <v/>
      </c>
      <c r="G117" s="76" t="str">
        <f>IF(ISERROR(G36/Exploitation!F$40),"",G36/Exploitation!F$40)</f>
        <v/>
      </c>
      <c r="H117" s="76" t="str">
        <f>IF(ISERROR(H36/((Emissions!$G$18*Emissions!G51*Exploitation!G$40+Emissions!$H$18*Emissions!H51*Exploitation!H$40)/(Emissions!$G$18*Emissions!G51+Emissions!$H$18*Emissions!H51))),"",H36/((Emissions!$G$18*Emissions!G51*Exploitation!G$40+Emissions!$H$18*Emissions!H51*Exploitation!H$40)/(Emissions!$G$18*Emissions!G51+Emissions!$H$18*Emissions!H51)))</f>
        <v/>
      </c>
      <c r="I117" s="76" t="str">
        <f>IF(ISERROR(I36/Exploitation!H$40),"",I36/Exploitation!H$40)</f>
        <v/>
      </c>
      <c r="J117" s="76" t="str">
        <f>IF(ISERROR(J36/((Emissions!$F$18*Emissions!F51*Exploitation!F$40+Emissions!$G$18*Emissions!G51*Exploitation!G$40+Emissions!$H$18*Emissions!H51*Exploitation!H$40+Emissions!$I$18*Emissions!I51*Exploitation!I$40)/(Emissions!$F$18*Emissions!F51+Emissions!$G$18*Emissions!G51+Emissions!$H$18*Emissions!H51+Emissions!$I$18*Emissions!I51))),"",J36/((Emissions!$F$18*Emissions!F51*Exploitation!F$40+Emissions!$G$18*Emissions!G51*Exploitation!G$40+Emissions!$H$18*Emissions!H51*Exploitation!H$40+Emissions!$I$18*Emissions!I51*Exploitation!I$40)/(Emissions!$F$18*Emissions!F51+Emissions!$G$18*Emissions!G51+Emissions!$H$18*Emissions!H51+Emissions!$I$18*Emissions!I51)))</f>
        <v/>
      </c>
    </row>
    <row r="118" spans="1:10" x14ac:dyDescent="0.35">
      <c r="A118" s="12"/>
      <c r="B118" s="451" t="str">
        <f t="shared" si="3"/>
        <v/>
      </c>
      <c r="C118" s="76" t="str">
        <f>IF(ISERROR(C37/Exploitation!C$40),"",C37/Exploitation!C$40)</f>
        <v/>
      </c>
      <c r="D118" s="76" t="str">
        <f>IF(ISERROR(D37/Exploitation!D$40),"",D37/Exploitation!D$40)</f>
        <v/>
      </c>
      <c r="E118" s="76" t="str">
        <f>IF(ISERROR(E37/Exploitation!E$40),"",E37/Exploitation!E$40)</f>
        <v/>
      </c>
      <c r="F118" s="76" t="str">
        <f>IF(ISERROR(F37/((Emissions!$C$18*Emissions!C52*Exploitation!C$40+Emissions!$D$18*Emissions!D52*Exploitation!D$40+Emissions!$E$18*Emissions!E52*Exploitation!E$40)/(Emissions!$C$18*Emissions!C52+Emissions!$D$18*Emissions!D52+Emissions!$E$18*Emissions!E52))),"",F37/((Emissions!$C$18*Emissions!C52*Exploitation!C$40+Emissions!$D$18*Emissions!D52*Exploitation!D$40+Emissions!$E$18*Emissions!E52*Exploitation!E$40)/(Emissions!$C$18*Emissions!C52+Emissions!$D$18*Emissions!D52+Emissions!$E$18*Emissions!E52)))</f>
        <v/>
      </c>
      <c r="G118" s="76" t="str">
        <f>IF(ISERROR(G37/Exploitation!F$40),"",G37/Exploitation!F$40)</f>
        <v/>
      </c>
      <c r="H118" s="76" t="str">
        <f>IF(ISERROR(H37/((Emissions!$G$18*Emissions!G52*Exploitation!G$40+Emissions!$H$18*Emissions!H52*Exploitation!H$40)/(Emissions!$G$18*Emissions!G52+Emissions!$H$18*Emissions!H52))),"",H37/((Emissions!$G$18*Emissions!G52*Exploitation!G$40+Emissions!$H$18*Emissions!H52*Exploitation!H$40)/(Emissions!$G$18*Emissions!G52+Emissions!$H$18*Emissions!H52)))</f>
        <v/>
      </c>
      <c r="I118" s="76" t="str">
        <f>IF(ISERROR(I37/Exploitation!H$40),"",I37/Exploitation!H$40)</f>
        <v/>
      </c>
      <c r="J118" s="76" t="str">
        <f>IF(ISERROR(J37/((Emissions!$F$18*Emissions!F52*Exploitation!F$40+Emissions!$G$18*Emissions!G52*Exploitation!G$40+Emissions!$H$18*Emissions!H52*Exploitation!H$40+Emissions!$I$18*Emissions!I52*Exploitation!I$40)/(Emissions!$F$18*Emissions!F52+Emissions!$G$18*Emissions!G52+Emissions!$H$18*Emissions!H52+Emissions!$I$18*Emissions!I52))),"",J37/((Emissions!$F$18*Emissions!F52*Exploitation!F$40+Emissions!$G$18*Emissions!G52*Exploitation!G$40+Emissions!$H$18*Emissions!H52*Exploitation!H$40+Emissions!$I$18*Emissions!I52*Exploitation!I$40)/(Emissions!$F$18*Emissions!F52+Emissions!$G$18*Emissions!G52+Emissions!$H$18*Emissions!H52+Emissions!$I$18*Emissions!I52)))</f>
        <v/>
      </c>
    </row>
    <row r="119" spans="1:10" x14ac:dyDescent="0.35">
      <c r="A119" s="12"/>
      <c r="B119" s="451" t="str">
        <f t="shared" si="3"/>
        <v/>
      </c>
      <c r="C119" s="76" t="str">
        <f>IF(ISERROR(C38/Exploitation!C$40),"",C38/Exploitation!C$40)</f>
        <v/>
      </c>
      <c r="D119" s="76" t="str">
        <f>IF(ISERROR(D38/Exploitation!D$40),"",D38/Exploitation!D$40)</f>
        <v/>
      </c>
      <c r="E119" s="76" t="str">
        <f>IF(ISERROR(E38/Exploitation!E$40),"",E38/Exploitation!E$40)</f>
        <v/>
      </c>
      <c r="F119" s="76" t="str">
        <f>IF(ISERROR(F38/((Emissions!$C$18*Emissions!C53*Exploitation!C$40+Emissions!$D$18*Emissions!D53*Exploitation!D$40+Emissions!$E$18*Emissions!E53*Exploitation!E$40)/(Emissions!$C$18*Emissions!C53+Emissions!$D$18*Emissions!D53+Emissions!$E$18*Emissions!E53))),"",F38/((Emissions!$C$18*Emissions!C53*Exploitation!C$40+Emissions!$D$18*Emissions!D53*Exploitation!D$40+Emissions!$E$18*Emissions!E53*Exploitation!E$40)/(Emissions!$C$18*Emissions!C53+Emissions!$D$18*Emissions!D53+Emissions!$E$18*Emissions!E53)))</f>
        <v/>
      </c>
      <c r="G119" s="76" t="str">
        <f>IF(ISERROR(G38/Exploitation!F$40),"",G38/Exploitation!F$40)</f>
        <v/>
      </c>
      <c r="H119" s="76" t="str">
        <f>IF(ISERROR(H38/((Emissions!$G$18*Emissions!G53*Exploitation!G$40+Emissions!$H$18*Emissions!H53*Exploitation!H$40)/(Emissions!$G$18*Emissions!G53+Emissions!$H$18*Emissions!H53))),"",H38/((Emissions!$G$18*Emissions!G53*Exploitation!G$40+Emissions!$H$18*Emissions!H53*Exploitation!H$40)/(Emissions!$G$18*Emissions!G53+Emissions!$H$18*Emissions!H53)))</f>
        <v/>
      </c>
      <c r="I119" s="76" t="str">
        <f>IF(ISERROR(I38/Exploitation!H$40),"",I38/Exploitation!H$40)</f>
        <v/>
      </c>
      <c r="J119" s="76" t="str">
        <f>IF(ISERROR(J38/((Emissions!$F$18*Emissions!F53*Exploitation!F$40+Emissions!$G$18*Emissions!G53*Exploitation!G$40+Emissions!$H$18*Emissions!H53*Exploitation!H$40+Emissions!$I$18*Emissions!I53*Exploitation!I$40)/(Emissions!$F$18*Emissions!F53+Emissions!$G$18*Emissions!G53+Emissions!$H$18*Emissions!H53+Emissions!$I$18*Emissions!I53))),"",J38/((Emissions!$F$18*Emissions!F53*Exploitation!F$40+Emissions!$G$18*Emissions!G53*Exploitation!G$40+Emissions!$H$18*Emissions!H53*Exploitation!H$40+Emissions!$I$18*Emissions!I53*Exploitation!I$40)/(Emissions!$F$18*Emissions!F53+Emissions!$G$18*Emissions!G53+Emissions!$H$18*Emissions!H53+Emissions!$I$18*Emissions!I53)))</f>
        <v/>
      </c>
    </row>
    <row r="120" spans="1:10" x14ac:dyDescent="0.35">
      <c r="A120" s="12"/>
      <c r="B120" s="451" t="str">
        <f t="shared" si="3"/>
        <v/>
      </c>
      <c r="C120" s="76" t="str">
        <f>IF(ISERROR(C39/Exploitation!C$40),"",C39/Exploitation!C$40)</f>
        <v/>
      </c>
      <c r="D120" s="76" t="str">
        <f>IF(ISERROR(D39/Exploitation!D$40),"",D39/Exploitation!D$40)</f>
        <v/>
      </c>
      <c r="E120" s="76" t="str">
        <f>IF(ISERROR(E39/Exploitation!E$40),"",E39/Exploitation!E$40)</f>
        <v/>
      </c>
      <c r="F120" s="76" t="str">
        <f>IF(ISERROR(F39/((Emissions!$C$18*Emissions!C54*Exploitation!C$40+Emissions!$D$18*Emissions!D54*Exploitation!D$40+Emissions!$E$18*Emissions!E54*Exploitation!E$40)/(Emissions!$C$18*Emissions!C54+Emissions!$D$18*Emissions!D54+Emissions!$E$18*Emissions!E54))),"",F39/((Emissions!$C$18*Emissions!C54*Exploitation!C$40+Emissions!$D$18*Emissions!D54*Exploitation!D$40+Emissions!$E$18*Emissions!E54*Exploitation!E$40)/(Emissions!$C$18*Emissions!C54+Emissions!$D$18*Emissions!D54+Emissions!$E$18*Emissions!E54)))</f>
        <v/>
      </c>
      <c r="G120" s="76" t="str">
        <f>IF(ISERROR(G39/Exploitation!F$40),"",G39/Exploitation!F$40)</f>
        <v/>
      </c>
      <c r="H120" s="76" t="str">
        <f>IF(ISERROR(H39/((Emissions!$G$18*Emissions!G54*Exploitation!G$40+Emissions!$H$18*Emissions!H54*Exploitation!H$40)/(Emissions!$G$18*Emissions!G54+Emissions!$H$18*Emissions!H54))),"",H39/((Emissions!$G$18*Emissions!G54*Exploitation!G$40+Emissions!$H$18*Emissions!H54*Exploitation!H$40)/(Emissions!$G$18*Emissions!G54+Emissions!$H$18*Emissions!H54)))</f>
        <v/>
      </c>
      <c r="I120" s="76" t="str">
        <f>IF(ISERROR(I39/Exploitation!H$40),"",I39/Exploitation!H$40)</f>
        <v/>
      </c>
      <c r="J120" s="76" t="str">
        <f>IF(ISERROR(J39/((Emissions!$F$18*Emissions!F54*Exploitation!F$40+Emissions!$G$18*Emissions!G54*Exploitation!G$40+Emissions!$H$18*Emissions!H54*Exploitation!H$40+Emissions!$I$18*Emissions!I54*Exploitation!I$40)/(Emissions!$F$18*Emissions!F54+Emissions!$G$18*Emissions!G54+Emissions!$H$18*Emissions!H54+Emissions!$I$18*Emissions!I54))),"",J39/((Emissions!$F$18*Emissions!F54*Exploitation!F$40+Emissions!$G$18*Emissions!G54*Exploitation!G$40+Emissions!$H$18*Emissions!H54*Exploitation!H$40+Emissions!$I$18*Emissions!I54*Exploitation!I$40)/(Emissions!$F$18*Emissions!F54+Emissions!$G$18*Emissions!G54+Emissions!$H$18*Emissions!H54+Emissions!$I$18*Emissions!I54)))</f>
        <v/>
      </c>
    </row>
    <row r="121" spans="1:10" x14ac:dyDescent="0.35">
      <c r="A121" s="12"/>
      <c r="B121" s="451" t="str">
        <f t="shared" si="3"/>
        <v/>
      </c>
      <c r="C121" s="76" t="str">
        <f>IF(ISERROR(C40/Exploitation!C$40),"",C40/Exploitation!C$40)</f>
        <v/>
      </c>
      <c r="D121" s="76" t="str">
        <f>IF(ISERROR(D40/Exploitation!D$40),"",D40/Exploitation!D$40)</f>
        <v/>
      </c>
      <c r="E121" s="76" t="str">
        <f>IF(ISERROR(E40/Exploitation!E$40),"",E40/Exploitation!E$40)</f>
        <v/>
      </c>
      <c r="F121" s="76" t="str">
        <f>IF(ISERROR(F40/((Emissions!$C$18*Emissions!C55*Exploitation!C$40+Emissions!$D$18*Emissions!D55*Exploitation!D$40+Emissions!$E$18*Emissions!E55*Exploitation!E$40)/(Emissions!$C$18*Emissions!C55+Emissions!$D$18*Emissions!D55+Emissions!$E$18*Emissions!E55))),"",F40/((Emissions!$C$18*Emissions!C55*Exploitation!C$40+Emissions!$D$18*Emissions!D55*Exploitation!D$40+Emissions!$E$18*Emissions!E55*Exploitation!E$40)/(Emissions!$C$18*Emissions!C55+Emissions!$D$18*Emissions!D55+Emissions!$E$18*Emissions!E55)))</f>
        <v/>
      </c>
      <c r="G121" s="76" t="str">
        <f>IF(ISERROR(G40/Exploitation!F$40),"",G40/Exploitation!F$40)</f>
        <v/>
      </c>
      <c r="H121" s="76" t="str">
        <f>IF(ISERROR(H40/((Emissions!$G$18*Emissions!G55*Exploitation!G$40+Emissions!$H$18*Emissions!H55*Exploitation!H$40)/(Emissions!$G$18*Emissions!G55+Emissions!$H$18*Emissions!H55))),"",H40/((Emissions!$G$18*Emissions!G55*Exploitation!G$40+Emissions!$H$18*Emissions!H55*Exploitation!H$40)/(Emissions!$G$18*Emissions!G55+Emissions!$H$18*Emissions!H55)))</f>
        <v/>
      </c>
      <c r="I121" s="76" t="str">
        <f>IF(ISERROR(I40/Exploitation!H$40),"",I40/Exploitation!H$40)</f>
        <v/>
      </c>
      <c r="J121" s="76" t="str">
        <f>IF(ISERROR(J40/((Emissions!$F$18*Emissions!F55*Exploitation!F$40+Emissions!$G$18*Emissions!G55*Exploitation!G$40+Emissions!$H$18*Emissions!H55*Exploitation!H$40+Emissions!$I$18*Emissions!I55*Exploitation!I$40)/(Emissions!$F$18*Emissions!F55+Emissions!$G$18*Emissions!G55+Emissions!$H$18*Emissions!H55+Emissions!$I$18*Emissions!I55))),"",J40/((Emissions!$F$18*Emissions!F55*Exploitation!F$40+Emissions!$G$18*Emissions!G55*Exploitation!G$40+Emissions!$H$18*Emissions!H55*Exploitation!H$40+Emissions!$I$18*Emissions!I55*Exploitation!I$40)/(Emissions!$F$18*Emissions!F55+Emissions!$G$18*Emissions!G55+Emissions!$H$18*Emissions!H55+Emissions!$I$18*Emissions!I55)))</f>
        <v/>
      </c>
    </row>
    <row r="122" spans="1:10" x14ac:dyDescent="0.35">
      <c r="A122" s="12"/>
      <c r="B122" s="451" t="str">
        <f t="shared" si="3"/>
        <v/>
      </c>
      <c r="C122" s="76" t="str">
        <f>IF(ISERROR(C41/Exploitation!C$40),"",C41/Exploitation!C$40)</f>
        <v/>
      </c>
      <c r="D122" s="76" t="str">
        <f>IF(ISERROR(D41/Exploitation!D$40),"",D41/Exploitation!D$40)</f>
        <v/>
      </c>
      <c r="E122" s="76" t="str">
        <f>IF(ISERROR(E41/Exploitation!E$40),"",E41/Exploitation!E$40)</f>
        <v/>
      </c>
      <c r="F122" s="76" t="str">
        <f>IF(ISERROR(F41/((Emissions!$C$18*Emissions!C56*Exploitation!C$40+Emissions!$D$18*Emissions!D56*Exploitation!D$40+Emissions!$E$18*Emissions!E56*Exploitation!E$40)/(Emissions!$C$18*Emissions!C56+Emissions!$D$18*Emissions!D56+Emissions!$E$18*Emissions!E56))),"",F41/((Emissions!$C$18*Emissions!C56*Exploitation!C$40+Emissions!$D$18*Emissions!D56*Exploitation!D$40+Emissions!$E$18*Emissions!E56*Exploitation!E$40)/(Emissions!$C$18*Emissions!C56+Emissions!$D$18*Emissions!D56+Emissions!$E$18*Emissions!E56)))</f>
        <v/>
      </c>
      <c r="G122" s="76" t="str">
        <f>IF(ISERROR(G41/Exploitation!F$40),"",G41/Exploitation!F$40)</f>
        <v/>
      </c>
      <c r="H122" s="76" t="str">
        <f>IF(ISERROR(H41/((Emissions!$G$18*Emissions!G56*Exploitation!G$40+Emissions!$H$18*Emissions!H56*Exploitation!H$40)/(Emissions!$G$18*Emissions!G56+Emissions!$H$18*Emissions!H56))),"",H41/((Emissions!$G$18*Emissions!G56*Exploitation!G$40+Emissions!$H$18*Emissions!H56*Exploitation!H$40)/(Emissions!$G$18*Emissions!G56+Emissions!$H$18*Emissions!H56)))</f>
        <v/>
      </c>
      <c r="I122" s="76" t="str">
        <f>IF(ISERROR(I41/Exploitation!H$40),"",I41/Exploitation!H$40)</f>
        <v/>
      </c>
      <c r="J122" s="76" t="str">
        <f>IF(ISERROR(J41/((Emissions!$F$18*Emissions!F56*Exploitation!F$40+Emissions!$G$18*Emissions!G56*Exploitation!G$40+Emissions!$H$18*Emissions!H56*Exploitation!H$40+Emissions!$I$18*Emissions!I56*Exploitation!I$40)/(Emissions!$F$18*Emissions!F56+Emissions!$G$18*Emissions!G56+Emissions!$H$18*Emissions!H56+Emissions!$I$18*Emissions!I56))),"",J41/((Emissions!$F$18*Emissions!F56*Exploitation!F$40+Emissions!$G$18*Emissions!G56*Exploitation!G$40+Emissions!$H$18*Emissions!H56*Exploitation!H$40+Emissions!$I$18*Emissions!I56*Exploitation!I$40)/(Emissions!$F$18*Emissions!F56+Emissions!$G$18*Emissions!G56+Emissions!$H$18*Emissions!H56+Emissions!$I$18*Emissions!I56)))</f>
        <v/>
      </c>
    </row>
    <row r="123" spans="1:10" x14ac:dyDescent="0.35">
      <c r="A123" s="12"/>
      <c r="B123" s="451" t="str">
        <f t="shared" si="3"/>
        <v/>
      </c>
      <c r="C123" s="76" t="str">
        <f>IF(ISERROR(C42/Exploitation!C$40),"",C42/Exploitation!C$40)</f>
        <v/>
      </c>
      <c r="D123" s="76" t="str">
        <f>IF(ISERROR(D42/Exploitation!D$40),"",D42/Exploitation!D$40)</f>
        <v/>
      </c>
      <c r="E123" s="76" t="str">
        <f>IF(ISERROR(E42/Exploitation!E$40),"",E42/Exploitation!E$40)</f>
        <v/>
      </c>
      <c r="F123" s="76" t="str">
        <f>IF(ISERROR(F42/((Emissions!$C$18*Emissions!C57*Exploitation!C$40+Emissions!$D$18*Emissions!D57*Exploitation!D$40+Emissions!$E$18*Emissions!E57*Exploitation!E$40)/(Emissions!$C$18*Emissions!C57+Emissions!$D$18*Emissions!D57+Emissions!$E$18*Emissions!E57))),"",F42/((Emissions!$C$18*Emissions!C57*Exploitation!C$40+Emissions!$D$18*Emissions!D57*Exploitation!D$40+Emissions!$E$18*Emissions!E57*Exploitation!E$40)/(Emissions!$C$18*Emissions!C57+Emissions!$D$18*Emissions!D57+Emissions!$E$18*Emissions!E57)))</f>
        <v/>
      </c>
      <c r="G123" s="76" t="str">
        <f>IF(ISERROR(G42/Exploitation!F$40),"",G42/Exploitation!F$40)</f>
        <v/>
      </c>
      <c r="H123" s="76" t="str">
        <f>IF(ISERROR(H42/((Emissions!$G$18*Emissions!G57*Exploitation!G$40+Emissions!$H$18*Emissions!H57*Exploitation!H$40)/(Emissions!$G$18*Emissions!G57+Emissions!$H$18*Emissions!H57))),"",H42/((Emissions!$G$18*Emissions!G57*Exploitation!G$40+Emissions!$H$18*Emissions!H57*Exploitation!H$40)/(Emissions!$G$18*Emissions!G57+Emissions!$H$18*Emissions!H57)))</f>
        <v/>
      </c>
      <c r="I123" s="76" t="str">
        <f>IF(ISERROR(I42/Exploitation!H$40),"",I42/Exploitation!H$40)</f>
        <v/>
      </c>
      <c r="J123" s="76" t="str">
        <f>IF(ISERROR(J42/((Emissions!$F$18*Emissions!F57*Exploitation!F$40+Emissions!$G$18*Emissions!G57*Exploitation!G$40+Emissions!$H$18*Emissions!H57*Exploitation!H$40+Emissions!$I$18*Emissions!I57*Exploitation!I$40)/(Emissions!$F$18*Emissions!F57+Emissions!$G$18*Emissions!G57+Emissions!$H$18*Emissions!H57+Emissions!$I$18*Emissions!I57))),"",J42/((Emissions!$F$18*Emissions!F57*Exploitation!F$40+Emissions!$G$18*Emissions!G57*Exploitation!G$40+Emissions!$H$18*Emissions!H57*Exploitation!H$40+Emissions!$I$18*Emissions!I57*Exploitation!I$40)/(Emissions!$F$18*Emissions!F57+Emissions!$G$18*Emissions!G57+Emissions!$H$18*Emissions!H57+Emissions!$I$18*Emissions!I57)))</f>
        <v/>
      </c>
    </row>
    <row r="124" spans="1:10" x14ac:dyDescent="0.35">
      <c r="A124" s="12"/>
      <c r="B124" s="451" t="str">
        <f t="shared" si="3"/>
        <v/>
      </c>
      <c r="C124" s="76" t="str">
        <f>IF(ISERROR(C43/Exploitation!C$40),"",C43/Exploitation!C$40)</f>
        <v/>
      </c>
      <c r="D124" s="76" t="str">
        <f>IF(ISERROR(D43/Exploitation!D$40),"",D43/Exploitation!D$40)</f>
        <v/>
      </c>
      <c r="E124" s="76" t="str">
        <f>IF(ISERROR(E43/Exploitation!E$40),"",E43/Exploitation!E$40)</f>
        <v/>
      </c>
      <c r="F124" s="76" t="str">
        <f>IF(ISERROR(F43/((Emissions!$C$18*Emissions!C58*Exploitation!C$40+Emissions!$D$18*Emissions!D58*Exploitation!D$40+Emissions!$E$18*Emissions!E58*Exploitation!E$40)/(Emissions!$C$18*Emissions!C58+Emissions!$D$18*Emissions!D58+Emissions!$E$18*Emissions!E58))),"",F43/((Emissions!$C$18*Emissions!C58*Exploitation!C$40+Emissions!$D$18*Emissions!D58*Exploitation!D$40+Emissions!$E$18*Emissions!E58*Exploitation!E$40)/(Emissions!$C$18*Emissions!C58+Emissions!$D$18*Emissions!D58+Emissions!$E$18*Emissions!E58)))</f>
        <v/>
      </c>
      <c r="G124" s="76" t="str">
        <f>IF(ISERROR(G43/Exploitation!F$40),"",G43/Exploitation!F$40)</f>
        <v/>
      </c>
      <c r="H124" s="76" t="str">
        <f>IF(ISERROR(H43/((Emissions!$G$18*Emissions!G58*Exploitation!G$40+Emissions!$H$18*Emissions!H58*Exploitation!H$40)/(Emissions!$G$18*Emissions!G58+Emissions!$H$18*Emissions!H58))),"",H43/((Emissions!$G$18*Emissions!G58*Exploitation!G$40+Emissions!$H$18*Emissions!H58*Exploitation!H$40)/(Emissions!$G$18*Emissions!G58+Emissions!$H$18*Emissions!H58)))</f>
        <v/>
      </c>
      <c r="I124" s="76" t="str">
        <f>IF(ISERROR(I43/Exploitation!H$40),"",I43/Exploitation!H$40)</f>
        <v/>
      </c>
      <c r="J124" s="76" t="str">
        <f>IF(ISERROR(J43/((Emissions!$F$18*Emissions!F58*Exploitation!F$40+Emissions!$G$18*Emissions!G58*Exploitation!G$40+Emissions!$H$18*Emissions!H58*Exploitation!H$40+Emissions!$I$18*Emissions!I58*Exploitation!I$40)/(Emissions!$F$18*Emissions!F58+Emissions!$G$18*Emissions!G58+Emissions!$H$18*Emissions!H58+Emissions!$I$18*Emissions!I58))),"",J43/((Emissions!$F$18*Emissions!F58*Exploitation!F$40+Emissions!$G$18*Emissions!G58*Exploitation!G$40+Emissions!$H$18*Emissions!H58*Exploitation!H$40+Emissions!$I$18*Emissions!I58*Exploitation!I$40)/(Emissions!$F$18*Emissions!F58+Emissions!$G$18*Emissions!G58+Emissions!$H$18*Emissions!H58+Emissions!$I$18*Emissions!I58)))</f>
        <v/>
      </c>
    </row>
    <row r="125" spans="1:10" x14ac:dyDescent="0.35">
      <c r="A125" s="12"/>
      <c r="B125" s="451" t="str">
        <f t="shared" si="3"/>
        <v/>
      </c>
      <c r="C125" s="76" t="str">
        <f>IF(ISERROR(C44/Exploitation!C$40),"",C44/Exploitation!C$40)</f>
        <v/>
      </c>
      <c r="D125" s="76" t="str">
        <f>IF(ISERROR(D44/Exploitation!D$40),"",D44/Exploitation!D$40)</f>
        <v/>
      </c>
      <c r="E125" s="76" t="str">
        <f>IF(ISERROR(E44/Exploitation!E$40),"",E44/Exploitation!E$40)</f>
        <v/>
      </c>
      <c r="F125" s="76" t="str">
        <f>IF(ISERROR(F44/((Emissions!$C$18*Emissions!C59*Exploitation!C$40+Emissions!$D$18*Emissions!D59*Exploitation!D$40+Emissions!$E$18*Emissions!E59*Exploitation!E$40)/(Emissions!$C$18*Emissions!C59+Emissions!$D$18*Emissions!D59+Emissions!$E$18*Emissions!E59))),"",F44/((Emissions!$C$18*Emissions!C59*Exploitation!C$40+Emissions!$D$18*Emissions!D59*Exploitation!D$40+Emissions!$E$18*Emissions!E59*Exploitation!E$40)/(Emissions!$C$18*Emissions!C59+Emissions!$D$18*Emissions!D59+Emissions!$E$18*Emissions!E59)))</f>
        <v/>
      </c>
      <c r="G125" s="76" t="str">
        <f>IF(ISERROR(G44/Exploitation!F$40),"",G44/Exploitation!F$40)</f>
        <v/>
      </c>
      <c r="H125" s="76" t="str">
        <f>IF(ISERROR(H44/((Emissions!$G$18*Emissions!G59*Exploitation!G$40+Emissions!$H$18*Emissions!H59*Exploitation!H$40)/(Emissions!$G$18*Emissions!G59+Emissions!$H$18*Emissions!H59))),"",H44/((Emissions!$G$18*Emissions!G59*Exploitation!G$40+Emissions!$H$18*Emissions!H59*Exploitation!H$40)/(Emissions!$G$18*Emissions!G59+Emissions!$H$18*Emissions!H59)))</f>
        <v/>
      </c>
      <c r="I125" s="76" t="str">
        <f>IF(ISERROR(I44/Exploitation!H$40),"",I44/Exploitation!H$40)</f>
        <v/>
      </c>
      <c r="J125" s="76" t="str">
        <f>IF(ISERROR(J44/((Emissions!$F$18*Emissions!F59*Exploitation!F$40+Emissions!$G$18*Emissions!G59*Exploitation!G$40+Emissions!$H$18*Emissions!H59*Exploitation!H$40+Emissions!$I$18*Emissions!I59*Exploitation!I$40)/(Emissions!$F$18*Emissions!F59+Emissions!$G$18*Emissions!G59+Emissions!$H$18*Emissions!H59+Emissions!$I$18*Emissions!I59))),"",J44/((Emissions!$F$18*Emissions!F59*Exploitation!F$40+Emissions!$G$18*Emissions!G59*Exploitation!G$40+Emissions!$H$18*Emissions!H59*Exploitation!H$40+Emissions!$I$18*Emissions!I59*Exploitation!I$40)/(Emissions!$F$18*Emissions!F59+Emissions!$G$18*Emissions!G59+Emissions!$H$18*Emissions!H59+Emissions!$I$18*Emissions!I59)))</f>
        <v/>
      </c>
    </row>
    <row r="126" spans="1:10" x14ac:dyDescent="0.35">
      <c r="A126" s="12"/>
      <c r="B126" s="451" t="str">
        <f t="shared" si="3"/>
        <v/>
      </c>
      <c r="C126" s="76" t="str">
        <f>IF(ISERROR(C45/Exploitation!C$40),"",C45/Exploitation!C$40)</f>
        <v/>
      </c>
      <c r="D126" s="76" t="str">
        <f>IF(ISERROR(D45/Exploitation!D$40),"",D45/Exploitation!D$40)</f>
        <v/>
      </c>
      <c r="E126" s="76" t="str">
        <f>IF(ISERROR(E45/Exploitation!E$40),"",E45/Exploitation!E$40)</f>
        <v/>
      </c>
      <c r="F126" s="76" t="str">
        <f>IF(ISERROR(F45/((Emissions!$C$18*Emissions!C60*Exploitation!C$40+Emissions!$D$18*Emissions!D60*Exploitation!D$40+Emissions!$E$18*Emissions!E60*Exploitation!E$40)/(Emissions!$C$18*Emissions!C60+Emissions!$D$18*Emissions!D60+Emissions!$E$18*Emissions!E60))),"",F45/((Emissions!$C$18*Emissions!C60*Exploitation!C$40+Emissions!$D$18*Emissions!D60*Exploitation!D$40+Emissions!$E$18*Emissions!E60*Exploitation!E$40)/(Emissions!$C$18*Emissions!C60+Emissions!$D$18*Emissions!D60+Emissions!$E$18*Emissions!E60)))</f>
        <v/>
      </c>
      <c r="G126" s="76" t="str">
        <f>IF(ISERROR(G45/Exploitation!F$40),"",G45/Exploitation!F$40)</f>
        <v/>
      </c>
      <c r="H126" s="76" t="str">
        <f>IF(ISERROR(H45/((Emissions!$G$18*Emissions!G60*Exploitation!G$40+Emissions!$H$18*Emissions!H60*Exploitation!H$40)/(Emissions!$G$18*Emissions!G60+Emissions!$H$18*Emissions!H60))),"",H45/((Emissions!$G$18*Emissions!G60*Exploitation!G$40+Emissions!$H$18*Emissions!H60*Exploitation!H$40)/(Emissions!$G$18*Emissions!G60+Emissions!$H$18*Emissions!H60)))</f>
        <v/>
      </c>
      <c r="I126" s="76" t="str">
        <f>IF(ISERROR(I45/Exploitation!H$40),"",I45/Exploitation!H$40)</f>
        <v/>
      </c>
      <c r="J126" s="76" t="str">
        <f>IF(ISERROR(J45/((Emissions!$F$18*Emissions!F60*Exploitation!F$40+Emissions!$G$18*Emissions!G60*Exploitation!G$40+Emissions!$H$18*Emissions!H60*Exploitation!H$40+Emissions!$I$18*Emissions!I60*Exploitation!I$40)/(Emissions!$F$18*Emissions!F60+Emissions!$G$18*Emissions!G60+Emissions!$H$18*Emissions!H60+Emissions!$I$18*Emissions!I60))),"",J45/((Emissions!$F$18*Emissions!F60*Exploitation!F$40+Emissions!$G$18*Emissions!G60*Exploitation!G$40+Emissions!$H$18*Emissions!H60*Exploitation!H$40+Emissions!$I$18*Emissions!I60*Exploitation!I$40)/(Emissions!$F$18*Emissions!F60+Emissions!$G$18*Emissions!G60+Emissions!$H$18*Emissions!H60+Emissions!$I$18*Emissions!I60)))</f>
        <v/>
      </c>
    </row>
    <row r="127" spans="1:10" x14ac:dyDescent="0.35">
      <c r="A127" s="12"/>
      <c r="B127" s="451" t="str">
        <f t="shared" si="3"/>
        <v/>
      </c>
      <c r="C127" s="76" t="str">
        <f>IF(ISERROR(C46/Exploitation!C$40),"",C46/Exploitation!C$40)</f>
        <v/>
      </c>
      <c r="D127" s="76" t="str">
        <f>IF(ISERROR(D46/Exploitation!D$40),"",D46/Exploitation!D$40)</f>
        <v/>
      </c>
      <c r="E127" s="76" t="str">
        <f>IF(ISERROR(E46/Exploitation!E$40),"",E46/Exploitation!E$40)</f>
        <v/>
      </c>
      <c r="F127" s="76" t="str">
        <f>IF(ISERROR(F46/((Emissions!$C$18*Emissions!C61*Exploitation!C$40+Emissions!$D$18*Emissions!D61*Exploitation!D$40+Emissions!$E$18*Emissions!E61*Exploitation!E$40)/(Emissions!$C$18*Emissions!C61+Emissions!$D$18*Emissions!D61+Emissions!$E$18*Emissions!E61))),"",F46/((Emissions!$C$18*Emissions!C61*Exploitation!C$40+Emissions!$D$18*Emissions!D61*Exploitation!D$40+Emissions!$E$18*Emissions!E61*Exploitation!E$40)/(Emissions!$C$18*Emissions!C61+Emissions!$D$18*Emissions!D61+Emissions!$E$18*Emissions!E61)))</f>
        <v/>
      </c>
      <c r="G127" s="76" t="str">
        <f>IF(ISERROR(G46/Exploitation!F$40),"",G46/Exploitation!F$40)</f>
        <v/>
      </c>
      <c r="H127" s="76" t="str">
        <f>IF(ISERROR(H46/((Emissions!$G$18*Emissions!G61*Exploitation!G$40+Emissions!$H$18*Emissions!H61*Exploitation!H$40)/(Emissions!$G$18*Emissions!G61+Emissions!$H$18*Emissions!H61))),"",H46/((Emissions!$G$18*Emissions!G61*Exploitation!G$40+Emissions!$H$18*Emissions!H61*Exploitation!H$40)/(Emissions!$G$18*Emissions!G61+Emissions!$H$18*Emissions!H61)))</f>
        <v/>
      </c>
      <c r="I127" s="76" t="str">
        <f>IF(ISERROR(I46/Exploitation!H$40),"",I46/Exploitation!H$40)</f>
        <v/>
      </c>
      <c r="J127" s="76" t="str">
        <f>IF(ISERROR(J46/((Emissions!$F$18*Emissions!F61*Exploitation!F$40+Emissions!$G$18*Emissions!G61*Exploitation!G$40+Emissions!$H$18*Emissions!H61*Exploitation!H$40+Emissions!$I$18*Emissions!I61*Exploitation!I$40)/(Emissions!$F$18*Emissions!F61+Emissions!$G$18*Emissions!G61+Emissions!$H$18*Emissions!H61+Emissions!$I$18*Emissions!I61))),"",J46/((Emissions!$F$18*Emissions!F61*Exploitation!F$40+Emissions!$G$18*Emissions!G61*Exploitation!G$40+Emissions!$H$18*Emissions!H61*Exploitation!H$40+Emissions!$I$18*Emissions!I61*Exploitation!I$40)/(Emissions!$F$18*Emissions!F61+Emissions!$G$18*Emissions!G61+Emissions!$H$18*Emissions!H61+Emissions!$I$18*Emissions!I61)))</f>
        <v/>
      </c>
    </row>
    <row r="128" spans="1:10" x14ac:dyDescent="0.35">
      <c r="A128" s="12"/>
      <c r="B128" s="451" t="str">
        <f t="shared" si="3"/>
        <v/>
      </c>
      <c r="C128" s="76" t="str">
        <f>IF(ISERROR(C47/Exploitation!C$40),"",C47/Exploitation!C$40)</f>
        <v/>
      </c>
      <c r="D128" s="76" t="str">
        <f>IF(ISERROR(D47/Exploitation!D$40),"",D47/Exploitation!D$40)</f>
        <v/>
      </c>
      <c r="E128" s="76" t="str">
        <f>IF(ISERROR(E47/Exploitation!E$40),"",E47/Exploitation!E$40)</f>
        <v/>
      </c>
      <c r="F128" s="76" t="str">
        <f>IF(ISERROR(F47/((Emissions!$C$18*Emissions!C62*Exploitation!C$40+Emissions!$D$18*Emissions!D62*Exploitation!D$40+Emissions!$E$18*Emissions!E62*Exploitation!E$40)/(Emissions!$C$18*Emissions!C62+Emissions!$D$18*Emissions!D62+Emissions!$E$18*Emissions!E62))),"",F47/((Emissions!$C$18*Emissions!C62*Exploitation!C$40+Emissions!$D$18*Emissions!D62*Exploitation!D$40+Emissions!$E$18*Emissions!E62*Exploitation!E$40)/(Emissions!$C$18*Emissions!C62+Emissions!$D$18*Emissions!D62+Emissions!$E$18*Emissions!E62)))</f>
        <v/>
      </c>
      <c r="G128" s="76" t="str">
        <f>IF(ISERROR(G47/Exploitation!F$40),"",G47/Exploitation!F$40)</f>
        <v/>
      </c>
      <c r="H128" s="76" t="str">
        <f>IF(ISERROR(H47/((Emissions!$G$18*Emissions!G62*Exploitation!G$40+Emissions!$H$18*Emissions!H62*Exploitation!H$40)/(Emissions!$G$18*Emissions!G62+Emissions!$H$18*Emissions!H62))),"",H47/((Emissions!$G$18*Emissions!G62*Exploitation!G$40+Emissions!$H$18*Emissions!H62*Exploitation!H$40)/(Emissions!$G$18*Emissions!G62+Emissions!$H$18*Emissions!H62)))</f>
        <v/>
      </c>
      <c r="I128" s="76" t="str">
        <f>IF(ISERROR(I47/Exploitation!H$40),"",I47/Exploitation!H$40)</f>
        <v/>
      </c>
      <c r="J128" s="76" t="str">
        <f>IF(ISERROR(J47/((Emissions!$F$18*Emissions!F62*Exploitation!F$40+Emissions!$G$18*Emissions!G62*Exploitation!G$40+Emissions!$H$18*Emissions!H62*Exploitation!H$40+Emissions!$I$18*Emissions!I62*Exploitation!I$40)/(Emissions!$F$18*Emissions!F62+Emissions!$G$18*Emissions!G62+Emissions!$H$18*Emissions!H62+Emissions!$I$18*Emissions!I62))),"",J47/((Emissions!$F$18*Emissions!F62*Exploitation!F$40+Emissions!$G$18*Emissions!G62*Exploitation!G$40+Emissions!$H$18*Emissions!H62*Exploitation!H$40+Emissions!$I$18*Emissions!I62*Exploitation!I$40)/(Emissions!$F$18*Emissions!F62+Emissions!$G$18*Emissions!G62+Emissions!$H$18*Emissions!H62+Emissions!$I$18*Emissions!I62)))</f>
        <v/>
      </c>
    </row>
    <row r="129" spans="1:10" x14ac:dyDescent="0.35">
      <c r="A129" s="12"/>
      <c r="B129" s="451" t="str">
        <f t="shared" si="3"/>
        <v/>
      </c>
      <c r="C129" s="76" t="str">
        <f>IF(ISERROR(C48/Exploitation!C$40),"",C48/Exploitation!C$40)</f>
        <v/>
      </c>
      <c r="D129" s="76" t="str">
        <f>IF(ISERROR(D48/Exploitation!D$40),"",D48/Exploitation!D$40)</f>
        <v/>
      </c>
      <c r="E129" s="76" t="str">
        <f>IF(ISERROR(E48/Exploitation!E$40),"",E48/Exploitation!E$40)</f>
        <v/>
      </c>
      <c r="F129" s="76" t="str">
        <f>IF(ISERROR(F48/((Emissions!$C$18*Emissions!C63*Exploitation!C$40+Emissions!$D$18*Emissions!D63*Exploitation!D$40+Emissions!$E$18*Emissions!E63*Exploitation!E$40)/(Emissions!$C$18*Emissions!C63+Emissions!$D$18*Emissions!D63+Emissions!$E$18*Emissions!E63))),"",F48/((Emissions!$C$18*Emissions!C63*Exploitation!C$40+Emissions!$D$18*Emissions!D63*Exploitation!D$40+Emissions!$E$18*Emissions!E63*Exploitation!E$40)/(Emissions!$C$18*Emissions!C63+Emissions!$D$18*Emissions!D63+Emissions!$E$18*Emissions!E63)))</f>
        <v/>
      </c>
      <c r="G129" s="76" t="str">
        <f>IF(ISERROR(G48/Exploitation!F$40),"",G48/Exploitation!F$40)</f>
        <v/>
      </c>
      <c r="H129" s="76" t="str">
        <f>IF(ISERROR(H48/((Emissions!$G$18*Emissions!G63*Exploitation!G$40+Emissions!$H$18*Emissions!H63*Exploitation!H$40)/(Emissions!$G$18*Emissions!G63+Emissions!$H$18*Emissions!H63))),"",H48/((Emissions!$G$18*Emissions!G63*Exploitation!G$40+Emissions!$H$18*Emissions!H63*Exploitation!H$40)/(Emissions!$G$18*Emissions!G63+Emissions!$H$18*Emissions!H63)))</f>
        <v/>
      </c>
      <c r="I129" s="76" t="str">
        <f>IF(ISERROR(I48/Exploitation!H$40),"",I48/Exploitation!H$40)</f>
        <v/>
      </c>
      <c r="J129" s="76" t="str">
        <f>IF(ISERROR(J48/((Emissions!$F$18*Emissions!F63*Exploitation!F$40+Emissions!$G$18*Emissions!G63*Exploitation!G$40+Emissions!$H$18*Emissions!H63*Exploitation!H$40+Emissions!$I$18*Emissions!I63*Exploitation!I$40)/(Emissions!$F$18*Emissions!F63+Emissions!$G$18*Emissions!G63+Emissions!$H$18*Emissions!H63+Emissions!$I$18*Emissions!I63))),"",J48/((Emissions!$F$18*Emissions!F63*Exploitation!F$40+Emissions!$G$18*Emissions!G63*Exploitation!G$40+Emissions!$H$18*Emissions!H63*Exploitation!H$40+Emissions!$I$18*Emissions!I63*Exploitation!I$40)/(Emissions!$F$18*Emissions!F63+Emissions!$G$18*Emissions!G63+Emissions!$H$18*Emissions!H63+Emissions!$I$18*Emissions!I63)))</f>
        <v/>
      </c>
    </row>
    <row r="130" spans="1:10" x14ac:dyDescent="0.35">
      <c r="A130" s="12"/>
      <c r="B130" s="451" t="str">
        <f t="shared" si="3"/>
        <v/>
      </c>
      <c r="C130" s="76" t="str">
        <f>IF(ISERROR(C49/Exploitation!C$40),"",C49/Exploitation!C$40)</f>
        <v/>
      </c>
      <c r="D130" s="76" t="str">
        <f>IF(ISERROR(D49/Exploitation!D$40),"",D49/Exploitation!D$40)</f>
        <v/>
      </c>
      <c r="E130" s="76" t="str">
        <f>IF(ISERROR(E49/Exploitation!E$40),"",E49/Exploitation!E$40)</f>
        <v/>
      </c>
      <c r="F130" s="76" t="str">
        <f>IF(ISERROR(F49/((Emissions!$C$18*Emissions!C64*Exploitation!C$40+Emissions!$D$18*Emissions!D64*Exploitation!D$40+Emissions!$E$18*Emissions!E64*Exploitation!E$40)/(Emissions!$C$18*Emissions!C64+Emissions!$D$18*Emissions!D64+Emissions!$E$18*Emissions!E64))),"",F49/((Emissions!$C$18*Emissions!C64*Exploitation!C$40+Emissions!$D$18*Emissions!D64*Exploitation!D$40+Emissions!$E$18*Emissions!E64*Exploitation!E$40)/(Emissions!$C$18*Emissions!C64+Emissions!$D$18*Emissions!D64+Emissions!$E$18*Emissions!E64)))</f>
        <v/>
      </c>
      <c r="G130" s="76" t="str">
        <f>IF(ISERROR(G49/Exploitation!F$40),"",G49/Exploitation!F$40)</f>
        <v/>
      </c>
      <c r="H130" s="76" t="str">
        <f>IF(ISERROR(H49/((Emissions!$G$18*Emissions!G64*Exploitation!G$40+Emissions!$H$18*Emissions!H64*Exploitation!H$40)/(Emissions!$G$18*Emissions!G64+Emissions!$H$18*Emissions!H64))),"",H49/((Emissions!$G$18*Emissions!G64*Exploitation!G$40+Emissions!$H$18*Emissions!H64*Exploitation!H$40)/(Emissions!$G$18*Emissions!G64+Emissions!$H$18*Emissions!H64)))</f>
        <v/>
      </c>
      <c r="I130" s="76" t="str">
        <f>IF(ISERROR(I49/Exploitation!H$40),"",I49/Exploitation!H$40)</f>
        <v/>
      </c>
      <c r="J130" s="76" t="str">
        <f>IF(ISERROR(J49/((Emissions!$F$18*Emissions!F64*Exploitation!F$40+Emissions!$G$18*Emissions!G64*Exploitation!G$40+Emissions!$H$18*Emissions!H64*Exploitation!H$40+Emissions!$I$18*Emissions!I64*Exploitation!I$40)/(Emissions!$F$18*Emissions!F64+Emissions!$G$18*Emissions!G64+Emissions!$H$18*Emissions!H64+Emissions!$I$18*Emissions!I64))),"",J49/((Emissions!$F$18*Emissions!F64*Exploitation!F$40+Emissions!$G$18*Emissions!G64*Exploitation!G$40+Emissions!$H$18*Emissions!H64*Exploitation!H$40+Emissions!$I$18*Emissions!I64*Exploitation!I$40)/(Emissions!$F$18*Emissions!F64+Emissions!$G$18*Emissions!G64+Emissions!$H$18*Emissions!H64+Emissions!$I$18*Emissions!I64)))</f>
        <v/>
      </c>
    </row>
    <row r="131" spans="1:10" x14ac:dyDescent="0.35">
      <c r="A131" s="12"/>
      <c r="B131" s="451" t="str">
        <f t="shared" si="3"/>
        <v/>
      </c>
      <c r="C131" s="76" t="str">
        <f>IF(ISERROR(C50/Exploitation!C$40),"",C50/Exploitation!C$40)</f>
        <v/>
      </c>
      <c r="D131" s="76" t="str">
        <f>IF(ISERROR(D50/Exploitation!D$40),"",D50/Exploitation!D$40)</f>
        <v/>
      </c>
      <c r="E131" s="76" t="str">
        <f>IF(ISERROR(E50/Exploitation!E$40),"",E50/Exploitation!E$40)</f>
        <v/>
      </c>
      <c r="F131" s="76" t="str">
        <f>IF(ISERROR(F50/((Emissions!$C$18*Emissions!C65*Exploitation!C$40+Emissions!$D$18*Emissions!D65*Exploitation!D$40+Emissions!$E$18*Emissions!E65*Exploitation!E$40)/(Emissions!$C$18*Emissions!C65+Emissions!$D$18*Emissions!D65+Emissions!$E$18*Emissions!E65))),"",F50/((Emissions!$C$18*Emissions!C65*Exploitation!C$40+Emissions!$D$18*Emissions!D65*Exploitation!D$40+Emissions!$E$18*Emissions!E65*Exploitation!E$40)/(Emissions!$C$18*Emissions!C65+Emissions!$D$18*Emissions!D65+Emissions!$E$18*Emissions!E65)))</f>
        <v/>
      </c>
      <c r="G131" s="76" t="str">
        <f>IF(ISERROR(G50/Exploitation!F$40),"",G50/Exploitation!F$40)</f>
        <v/>
      </c>
      <c r="H131" s="76" t="str">
        <f>IF(ISERROR(H50/((Emissions!$G$18*Emissions!G65*Exploitation!G$40+Emissions!$H$18*Emissions!H65*Exploitation!H$40)/(Emissions!$G$18*Emissions!G65+Emissions!$H$18*Emissions!H65))),"",H50/((Emissions!$G$18*Emissions!G65*Exploitation!G$40+Emissions!$H$18*Emissions!H65*Exploitation!H$40)/(Emissions!$G$18*Emissions!G65+Emissions!$H$18*Emissions!H65)))</f>
        <v/>
      </c>
      <c r="I131" s="76" t="str">
        <f>IF(ISERROR(I50/Exploitation!H$40),"",I50/Exploitation!H$40)</f>
        <v/>
      </c>
      <c r="J131" s="76" t="str">
        <f>IF(ISERROR(J50/((Emissions!$F$18*Emissions!F65*Exploitation!F$40+Emissions!$G$18*Emissions!G65*Exploitation!G$40+Emissions!$H$18*Emissions!H65*Exploitation!H$40+Emissions!$I$18*Emissions!I65*Exploitation!I$40)/(Emissions!$F$18*Emissions!F65+Emissions!$G$18*Emissions!G65+Emissions!$H$18*Emissions!H65+Emissions!$I$18*Emissions!I65))),"",J50/((Emissions!$F$18*Emissions!F65*Exploitation!F$40+Emissions!$G$18*Emissions!G65*Exploitation!G$40+Emissions!$H$18*Emissions!H65*Exploitation!H$40+Emissions!$I$18*Emissions!I65*Exploitation!I$40)/(Emissions!$F$18*Emissions!F65+Emissions!$G$18*Emissions!G65+Emissions!$H$18*Emissions!H65+Emissions!$I$18*Emissions!I65)))</f>
        <v/>
      </c>
    </row>
    <row r="132" spans="1:10" x14ac:dyDescent="0.35">
      <c r="A132" s="12"/>
      <c r="B132" s="451" t="str">
        <f t="shared" si="3"/>
        <v/>
      </c>
      <c r="C132" s="76" t="str">
        <f>IF(ISERROR(C51/Exploitation!C$40),"",C51/Exploitation!C$40)</f>
        <v/>
      </c>
      <c r="D132" s="76" t="str">
        <f>IF(ISERROR(D51/Exploitation!D$40),"",D51/Exploitation!D$40)</f>
        <v/>
      </c>
      <c r="E132" s="76" t="str">
        <f>IF(ISERROR(E51/Exploitation!E$40),"",E51/Exploitation!E$40)</f>
        <v/>
      </c>
      <c r="F132" s="76" t="str">
        <f>IF(ISERROR(F51/((Emissions!$C$18*Emissions!C66*Exploitation!C$40+Emissions!$D$18*Emissions!D66*Exploitation!D$40+Emissions!$E$18*Emissions!E66*Exploitation!E$40)/(Emissions!$C$18*Emissions!C66+Emissions!$D$18*Emissions!D66+Emissions!$E$18*Emissions!E66))),"",F51/((Emissions!$C$18*Emissions!C66*Exploitation!C$40+Emissions!$D$18*Emissions!D66*Exploitation!D$40+Emissions!$E$18*Emissions!E66*Exploitation!E$40)/(Emissions!$C$18*Emissions!C66+Emissions!$D$18*Emissions!D66+Emissions!$E$18*Emissions!E66)))</f>
        <v/>
      </c>
      <c r="G132" s="76" t="str">
        <f>IF(ISERROR(G51/Exploitation!F$40),"",G51/Exploitation!F$40)</f>
        <v/>
      </c>
      <c r="H132" s="76" t="str">
        <f>IF(ISERROR(H51/((Emissions!$G$18*Emissions!G66*Exploitation!G$40+Emissions!$H$18*Emissions!H66*Exploitation!H$40)/(Emissions!$G$18*Emissions!G66+Emissions!$H$18*Emissions!H66))),"",H51/((Emissions!$G$18*Emissions!G66*Exploitation!G$40+Emissions!$H$18*Emissions!H66*Exploitation!H$40)/(Emissions!$G$18*Emissions!G66+Emissions!$H$18*Emissions!H66)))</f>
        <v/>
      </c>
      <c r="I132" s="76" t="str">
        <f>IF(ISERROR(I51/Exploitation!H$40),"",I51/Exploitation!H$40)</f>
        <v/>
      </c>
      <c r="J132" s="76" t="str">
        <f>IF(ISERROR(J51/((Emissions!$F$18*Emissions!F66*Exploitation!F$40+Emissions!$G$18*Emissions!G66*Exploitation!G$40+Emissions!$H$18*Emissions!H66*Exploitation!H$40+Emissions!$I$18*Emissions!I66*Exploitation!I$40)/(Emissions!$F$18*Emissions!F66+Emissions!$G$18*Emissions!G66+Emissions!$H$18*Emissions!H66+Emissions!$I$18*Emissions!I66))),"",J51/((Emissions!$F$18*Emissions!F66*Exploitation!F$40+Emissions!$G$18*Emissions!G66*Exploitation!G$40+Emissions!$H$18*Emissions!H66*Exploitation!H$40+Emissions!$I$18*Emissions!I66*Exploitation!I$40)/(Emissions!$F$18*Emissions!F66+Emissions!$G$18*Emissions!G66+Emissions!$H$18*Emissions!H66+Emissions!$I$18*Emissions!I66)))</f>
        <v/>
      </c>
    </row>
    <row r="133" spans="1:10" x14ac:dyDescent="0.35">
      <c r="A133" s="12"/>
      <c r="B133" s="451" t="str">
        <f t="shared" si="3"/>
        <v/>
      </c>
      <c r="C133" s="76" t="str">
        <f>IF(ISERROR(C52/Exploitation!C$40),"",C52/Exploitation!C$40)</f>
        <v/>
      </c>
      <c r="D133" s="76" t="str">
        <f>IF(ISERROR(D52/Exploitation!D$40),"",D52/Exploitation!D$40)</f>
        <v/>
      </c>
      <c r="E133" s="76" t="str">
        <f>IF(ISERROR(E52/Exploitation!E$40),"",E52/Exploitation!E$40)</f>
        <v/>
      </c>
      <c r="F133" s="76" t="str">
        <f>IF(ISERROR(F52/((Emissions!$C$18*Emissions!C67*Exploitation!C$40+Emissions!$D$18*Emissions!D67*Exploitation!D$40+Emissions!$E$18*Emissions!E67*Exploitation!E$40)/(Emissions!$C$18*Emissions!C67+Emissions!$D$18*Emissions!D67+Emissions!$E$18*Emissions!E67))),"",F52/((Emissions!$C$18*Emissions!C67*Exploitation!C$40+Emissions!$D$18*Emissions!D67*Exploitation!D$40+Emissions!$E$18*Emissions!E67*Exploitation!E$40)/(Emissions!$C$18*Emissions!C67+Emissions!$D$18*Emissions!D67+Emissions!$E$18*Emissions!E67)))</f>
        <v/>
      </c>
      <c r="G133" s="76" t="str">
        <f>IF(ISERROR(G52/Exploitation!F$40),"",G52/Exploitation!F$40)</f>
        <v/>
      </c>
      <c r="H133" s="76" t="str">
        <f>IF(ISERROR(H52/((Emissions!$G$18*Emissions!G67*Exploitation!G$40+Emissions!$H$18*Emissions!H67*Exploitation!H$40)/(Emissions!$G$18*Emissions!G67+Emissions!$H$18*Emissions!H67))),"",H52/((Emissions!$G$18*Emissions!G67*Exploitation!G$40+Emissions!$H$18*Emissions!H67*Exploitation!H$40)/(Emissions!$G$18*Emissions!G67+Emissions!$H$18*Emissions!H67)))</f>
        <v/>
      </c>
      <c r="I133" s="76" t="str">
        <f>IF(ISERROR(I52/Exploitation!H$40),"",I52/Exploitation!H$40)</f>
        <v/>
      </c>
      <c r="J133" s="76" t="str">
        <f>IF(ISERROR(J52/((Emissions!$F$18*Emissions!F67*Exploitation!F$40+Emissions!$G$18*Emissions!G67*Exploitation!G$40+Emissions!$H$18*Emissions!H67*Exploitation!H$40+Emissions!$I$18*Emissions!I67*Exploitation!I$40)/(Emissions!$F$18*Emissions!F67+Emissions!$G$18*Emissions!G67+Emissions!$H$18*Emissions!H67+Emissions!$I$18*Emissions!I67))),"",J52/((Emissions!$F$18*Emissions!F67*Exploitation!F$40+Emissions!$G$18*Emissions!G67*Exploitation!G$40+Emissions!$H$18*Emissions!H67*Exploitation!H$40+Emissions!$I$18*Emissions!I67*Exploitation!I$40)/(Emissions!$F$18*Emissions!F67+Emissions!$G$18*Emissions!G67+Emissions!$H$18*Emissions!H67+Emissions!$I$18*Emissions!I67)))</f>
        <v/>
      </c>
    </row>
  </sheetData>
  <mergeCells count="42">
    <mergeCell ref="M57:M59"/>
    <mergeCell ref="N57:N59"/>
    <mergeCell ref="C112:E112"/>
    <mergeCell ref="F112:F113"/>
    <mergeCell ref="G112:I112"/>
    <mergeCell ref="J112:J113"/>
    <mergeCell ref="C57:C59"/>
    <mergeCell ref="H57:H59"/>
    <mergeCell ref="L57:L59"/>
    <mergeCell ref="I57:K57"/>
    <mergeCell ref="I58:I59"/>
    <mergeCell ref="J58:J59"/>
    <mergeCell ref="K58:K59"/>
    <mergeCell ref="B3:B5"/>
    <mergeCell ref="C24:C25"/>
    <mergeCell ref="D58:E58"/>
    <mergeCell ref="F58:F59"/>
    <mergeCell ref="D57:G57"/>
    <mergeCell ref="G58:G59"/>
    <mergeCell ref="E18:E19"/>
    <mergeCell ref="F18:F19"/>
    <mergeCell ref="G18:G19"/>
    <mergeCell ref="D21:D25"/>
    <mergeCell ref="E21:E25"/>
    <mergeCell ref="F21:F25"/>
    <mergeCell ref="G21:G25"/>
    <mergeCell ref="C18:C19"/>
    <mergeCell ref="D18:D19"/>
    <mergeCell ref="B57:B59"/>
    <mergeCell ref="C31:E31"/>
    <mergeCell ref="F31:F32"/>
    <mergeCell ref="G31:I31"/>
    <mergeCell ref="J31:J32"/>
    <mergeCell ref="C3:C4"/>
    <mergeCell ref="G3:G4"/>
    <mergeCell ref="D6:D10"/>
    <mergeCell ref="E6:E10"/>
    <mergeCell ref="F6:F10"/>
    <mergeCell ref="G6:G10"/>
    <mergeCell ref="D3:D4"/>
    <mergeCell ref="E3:E4"/>
    <mergeCell ref="F3:F4"/>
  </mergeCells>
  <conditionalFormatting sqref="C11">
    <cfRule type="cellIs" dxfId="32" priority="21" operator="greaterThan">
      <formula>$C$13</formula>
    </cfRule>
    <cfRule type="expression" dxfId="31" priority="24">
      <formula>"&gt;$C$13"</formula>
    </cfRule>
  </conditionalFormatting>
  <conditionalFormatting sqref="D11">
    <cfRule type="cellIs" dxfId="30" priority="20" operator="greaterThan">
      <formula>$D$13</formula>
    </cfRule>
  </conditionalFormatting>
  <conditionalFormatting sqref="E11">
    <cfRule type="cellIs" dxfId="29" priority="19" operator="greaterThan">
      <formula>$E$13</formula>
    </cfRule>
  </conditionalFormatting>
  <conditionalFormatting sqref="F11">
    <cfRule type="cellIs" dxfId="28" priority="18" operator="greaterThan">
      <formula>$F$13</formula>
    </cfRule>
  </conditionalFormatting>
  <conditionalFormatting sqref="G11">
    <cfRule type="cellIs" dxfId="27" priority="17" operator="greaterThan">
      <formula>$G$13</formula>
    </cfRule>
  </conditionalFormatting>
  <conditionalFormatting sqref="C26">
    <cfRule type="cellIs" dxfId="26" priority="9" operator="greaterThan">
      <formula>$C$13</formula>
    </cfRule>
    <cfRule type="expression" dxfId="25" priority="10">
      <formula>"&gt;$C$13"</formula>
    </cfRule>
  </conditionalFormatting>
  <conditionalFormatting sqref="D26">
    <cfRule type="cellIs" dxfId="24" priority="8" operator="greaterThan">
      <formula>$D$13</formula>
    </cfRule>
  </conditionalFormatting>
  <conditionalFormatting sqref="E26">
    <cfRule type="cellIs" dxfId="23" priority="7" operator="greaterThan">
      <formula>$E$13</formula>
    </cfRule>
  </conditionalFormatting>
  <conditionalFormatting sqref="F26">
    <cfRule type="cellIs" dxfId="22" priority="6" operator="greaterThan">
      <formula>$F$13</formula>
    </cfRule>
  </conditionalFormatting>
  <conditionalFormatting sqref="G26">
    <cfRule type="cellIs" dxfId="21" priority="5" operator="greaterThan">
      <formula>$G$13</formula>
    </cfRule>
  </conditionalFormatting>
  <conditionalFormatting sqref="D60:D79">
    <cfRule type="expression" dxfId="20" priority="4">
      <formula>$D33&lt;&gt;""</formula>
    </cfRule>
  </conditionalFormatting>
  <conditionalFormatting sqref="E60:E79">
    <cfRule type="expression" dxfId="19" priority="3">
      <formula>E60&lt;&gt;0</formula>
    </cfRule>
  </conditionalFormatting>
  <conditionalFormatting sqref="F60:L79">
    <cfRule type="expression" dxfId="18" priority="2">
      <formula>F60&lt;&gt;0</formula>
    </cfRule>
  </conditionalFormatting>
  <conditionalFormatting sqref="D60:D79">
    <cfRule type="expression" dxfId="17" priority="1">
      <formula>$C33=""</formula>
    </cfRule>
  </conditionalFormatting>
  <dataValidations count="3">
    <dataValidation type="list" allowBlank="1" showInputMessage="1" showErrorMessage="1" sqref="D60:D79" xr:uid="{D89866EB-A542-4A52-B5BF-DBDA69CF29C3}">
      <formula1>POIDS</formula1>
    </dataValidation>
    <dataValidation type="list" allowBlank="1" showInputMessage="1" showErrorMessage="1" sqref="C60:C79" xr:uid="{B7B1E255-1835-4C67-9782-72378DEA0EB6}">
      <formula1>NEA</formula1>
    </dataValidation>
    <dataValidation type="list" allowBlank="1" showInputMessage="1" showErrorMessage="1" sqref="M60:N79" xr:uid="{90B39744-CD18-42A2-A486-43FA39036393}">
      <formula1>question_traitement</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FB9A-5838-49E0-8719-2ADD1D2851C6}">
  <dimension ref="A1:CQ138"/>
  <sheetViews>
    <sheetView zoomScale="70" zoomScaleNormal="70" workbookViewId="0">
      <selection activeCell="B8" sqref="B8:H8"/>
    </sheetView>
  </sheetViews>
  <sheetFormatPr baseColWidth="10" defaultColWidth="0" defaultRowHeight="14.5" x14ac:dyDescent="0.35"/>
  <cols>
    <col min="1" max="1" width="3.6328125" style="459" bestFit="1" customWidth="1"/>
    <col min="2" max="2" width="29.7265625" style="397" customWidth="1"/>
    <col min="3" max="8" width="12.6328125" style="398" customWidth="1"/>
    <col min="9" max="9" width="12.6328125" style="404" customWidth="1"/>
    <col min="10" max="10" width="56.6328125" style="404" customWidth="1"/>
    <col min="11" max="11" width="56.90625" style="404" customWidth="1"/>
    <col min="12" max="12" width="3" style="458" customWidth="1"/>
    <col min="13" max="13" width="56.90625" style="53" hidden="1" customWidth="1"/>
    <col min="14" max="14" width="56.90625" style="399" hidden="1" customWidth="1"/>
    <col min="15" max="24" width="56.90625" style="53" hidden="1" customWidth="1"/>
    <col min="25" max="25" width="56.90625" style="431" hidden="1" customWidth="1"/>
    <col min="26" max="94" width="56.90625" style="396" hidden="1" customWidth="1"/>
    <col min="95" max="95" width="11.54296875" style="396" hidden="1" customWidth="1"/>
    <col min="96" max="16384" width="56.90625" style="53" hidden="1"/>
  </cols>
  <sheetData>
    <row r="1" spans="1:95" ht="90.5" customHeight="1" x14ac:dyDescent="0.35">
      <c r="A1" s="584" t="s">
        <v>848</v>
      </c>
      <c r="B1" s="584"/>
      <c r="C1" s="584"/>
      <c r="D1" s="584"/>
      <c r="E1" s="584"/>
      <c r="F1" s="584"/>
      <c r="G1" s="584"/>
      <c r="H1" s="584"/>
      <c r="I1" s="584"/>
      <c r="J1" s="584"/>
      <c r="K1" s="584"/>
    </row>
    <row r="2" spans="1:95" s="469" customFormat="1" ht="16.5" customHeight="1" x14ac:dyDescent="0.35">
      <c r="A2" s="466"/>
      <c r="B2" s="467"/>
      <c r="C2" s="468"/>
      <c r="D2" s="468"/>
      <c r="E2" s="468"/>
      <c r="F2" s="468"/>
      <c r="G2" s="468"/>
      <c r="H2" s="468"/>
    </row>
    <row r="3" spans="1:95" ht="15" customHeight="1" x14ac:dyDescent="0.35">
      <c r="A3" s="459">
        <v>1</v>
      </c>
      <c r="I3" s="398"/>
      <c r="J3" s="398"/>
      <c r="K3" s="398"/>
      <c r="Q3" s="400"/>
      <c r="R3" s="400"/>
      <c r="S3" s="400"/>
      <c r="T3" s="400"/>
      <c r="U3" s="400"/>
      <c r="V3" s="400"/>
      <c r="W3" s="400"/>
      <c r="Y3" s="400"/>
    </row>
    <row r="4" spans="1:95" s="453" customFormat="1" ht="25" customHeight="1" x14ac:dyDescent="0.5">
      <c r="A4" s="460">
        <v>2</v>
      </c>
      <c r="B4" s="452" t="str">
        <f>IF(ISERROR(VLOOKUP($A4,$N$30:$Y$42,B$17+3,0)),"",VLOOKUP($A4,$N$30:$Y$42,B$17+3,0))</f>
        <v/>
      </c>
      <c r="C4" s="401" t="str">
        <f t="shared" ref="C4:K4" si="0">IF(ISERROR(VLOOKUP($A4,$N$30:$Y$42,C$16+3,0)),"",VLOOKUP($A4,$N$30:$Y$42,C$16+3,0))</f>
        <v/>
      </c>
      <c r="D4" s="401" t="str">
        <f t="shared" si="0"/>
        <v/>
      </c>
      <c r="E4" s="401" t="str">
        <f t="shared" si="0"/>
        <v/>
      </c>
      <c r="F4" s="401" t="str">
        <f t="shared" si="0"/>
        <v/>
      </c>
      <c r="G4" s="401" t="str">
        <f t="shared" si="0"/>
        <v>ELEVAGE</v>
      </c>
      <c r="H4" s="401" t="str">
        <f t="shared" si="0"/>
        <v/>
      </c>
      <c r="I4" s="401" t="str">
        <f t="shared" si="0"/>
        <v/>
      </c>
      <c r="J4" s="401" t="str">
        <f t="shared" si="0"/>
        <v/>
      </c>
      <c r="K4" s="401" t="str">
        <f t="shared" si="0"/>
        <v/>
      </c>
      <c r="L4" s="458"/>
      <c r="N4" s="454"/>
      <c r="T4" s="455"/>
      <c r="U4" s="455"/>
      <c r="V4" s="455"/>
      <c r="W4" s="455"/>
      <c r="X4" s="455"/>
      <c r="Y4" s="456"/>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455"/>
      <c r="AZ4" s="455"/>
      <c r="BA4" s="455"/>
      <c r="BB4" s="455"/>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5"/>
      <c r="CD4" s="455"/>
      <c r="CE4" s="455"/>
      <c r="CF4" s="455"/>
      <c r="CG4" s="455"/>
      <c r="CH4" s="455"/>
      <c r="CI4" s="455"/>
      <c r="CJ4" s="455"/>
      <c r="CK4" s="455"/>
      <c r="CL4" s="455"/>
      <c r="CM4" s="455"/>
      <c r="CN4" s="455"/>
      <c r="CO4" s="455"/>
      <c r="CP4" s="455"/>
      <c r="CQ4" s="455"/>
    </row>
    <row r="5" spans="1:95" ht="15" customHeight="1" x14ac:dyDescent="0.35">
      <c r="A5" s="459">
        <v>3</v>
      </c>
      <c r="I5" s="398"/>
      <c r="J5" s="398"/>
      <c r="K5" s="398"/>
      <c r="Y5" s="402"/>
    </row>
    <row r="6" spans="1:95" ht="15" customHeight="1" x14ac:dyDescent="0.35">
      <c r="A6" s="459">
        <v>4</v>
      </c>
      <c r="I6" s="398"/>
      <c r="J6" s="398"/>
      <c r="K6" s="398"/>
      <c r="Y6" s="402"/>
    </row>
    <row r="7" spans="1:95" ht="15" customHeight="1" x14ac:dyDescent="0.35">
      <c r="A7" s="459">
        <v>5</v>
      </c>
      <c r="I7" s="398"/>
      <c r="J7" s="398"/>
      <c r="K7" s="398"/>
      <c r="Y7" s="402"/>
    </row>
    <row r="8" spans="1:95" ht="15" customHeight="1" x14ac:dyDescent="0.35">
      <c r="A8" s="459">
        <v>6</v>
      </c>
      <c r="B8" s="589" t="s">
        <v>786</v>
      </c>
      <c r="C8" s="589"/>
      <c r="D8" s="589"/>
      <c r="E8" s="589"/>
      <c r="F8" s="589"/>
      <c r="G8" s="589"/>
      <c r="H8" s="589"/>
      <c r="I8" s="398"/>
      <c r="J8" s="398"/>
      <c r="K8" s="398"/>
      <c r="W8" s="400"/>
      <c r="Y8" s="402"/>
    </row>
    <row r="9" spans="1:95" x14ac:dyDescent="0.35">
      <c r="A9" s="459">
        <v>7</v>
      </c>
      <c r="I9" s="398"/>
      <c r="J9" s="398"/>
      <c r="K9" s="398"/>
      <c r="Y9" s="402"/>
      <c r="AD9" s="398"/>
    </row>
    <row r="10" spans="1:95" x14ac:dyDescent="0.35">
      <c r="A10" s="459">
        <v>8</v>
      </c>
      <c r="I10" s="398"/>
      <c r="J10" s="398"/>
      <c r="K10" s="398"/>
      <c r="Y10" s="402"/>
      <c r="AD10" s="398"/>
    </row>
    <row r="11" spans="1:95" ht="18.75" customHeight="1" x14ac:dyDescent="0.35">
      <c r="A11" s="459">
        <v>9</v>
      </c>
      <c r="B11" s="590" t="s">
        <v>787</v>
      </c>
      <c r="C11" s="590"/>
      <c r="D11" s="590"/>
      <c r="E11" s="590"/>
      <c r="F11" s="590"/>
      <c r="G11" s="590"/>
      <c r="H11" s="590"/>
      <c r="I11" s="590"/>
      <c r="J11" s="398"/>
      <c r="K11" s="398"/>
      <c r="T11" s="396"/>
      <c r="U11" s="396"/>
      <c r="V11" s="396"/>
      <c r="W11" s="396"/>
      <c r="X11" s="396"/>
      <c r="Y11" s="402"/>
    </row>
    <row r="12" spans="1:95" x14ac:dyDescent="0.35">
      <c r="A12" s="459">
        <v>10</v>
      </c>
      <c r="B12" s="470" t="str">
        <f>IF(ISERROR(VLOOKUP($A12,$N$30:$Y$42,B$17+3,0)),"",VLOOKUP($A12,$N$30:$Y$42,B$17+3,0))</f>
        <v/>
      </c>
      <c r="C12" s="471" t="str">
        <f t="shared" ref="C12:K12" si="1">IF(ISERROR(VLOOKUP($A12,$N$30:$Y$42,C$16+3,0)),"",VLOOKUP($A12,$N$30:$Y$42,C$16+3,0))</f>
        <v/>
      </c>
      <c r="D12" s="471" t="str">
        <f t="shared" si="1"/>
        <v/>
      </c>
      <c r="E12" s="471" t="str">
        <f t="shared" si="1"/>
        <v/>
      </c>
      <c r="F12" s="471" t="str">
        <f t="shared" si="1"/>
        <v/>
      </c>
      <c r="G12" s="471" t="str">
        <f t="shared" si="1"/>
        <v/>
      </c>
      <c r="H12" s="471" t="str">
        <f t="shared" si="1"/>
        <v/>
      </c>
      <c r="I12" s="471" t="str">
        <f t="shared" si="1"/>
        <v/>
      </c>
      <c r="J12" s="403" t="str">
        <f t="shared" si="1"/>
        <v>(Voir tableau ci-dessous)</v>
      </c>
      <c r="K12" s="403" t="str">
        <f t="shared" si="1"/>
        <v/>
      </c>
      <c r="T12" s="396"/>
      <c r="U12" s="396"/>
      <c r="V12" s="396"/>
      <c r="W12" s="396"/>
      <c r="X12" s="396"/>
      <c r="Y12" s="402"/>
    </row>
    <row r="13" spans="1:95" x14ac:dyDescent="0.35">
      <c r="A13" s="459">
        <v>11</v>
      </c>
      <c r="B13" s="462"/>
      <c r="C13" s="461"/>
      <c r="D13" s="461"/>
      <c r="E13" s="461"/>
      <c r="F13" s="461"/>
      <c r="G13" s="461"/>
      <c r="H13" s="461"/>
      <c r="I13" s="461"/>
      <c r="J13" s="398"/>
      <c r="K13" s="398"/>
      <c r="T13" s="396"/>
      <c r="U13" s="396"/>
      <c r="V13" s="396"/>
      <c r="W13" s="396"/>
      <c r="X13" s="396"/>
      <c r="Y13" s="402"/>
    </row>
    <row r="14" spans="1:95" x14ac:dyDescent="0.35">
      <c r="A14" s="459">
        <v>12</v>
      </c>
      <c r="B14" s="470" t="str">
        <f>IF(ISERROR(VLOOKUP($A14,$N$30:$Y$42,B$17+3,0)),"",VLOOKUP($A14,$N$30:$Y$42,B$17+3,0))</f>
        <v/>
      </c>
      <c r="C14" s="471">
        <f t="shared" ref="C14:K14" si="2">IF(ISERROR(VLOOKUP($A14,$N$30:$Y$42,C$16+3,0)),"",VLOOKUP($A14,$N$30:$Y$42,C$16+3,0))</f>
        <v>0</v>
      </c>
      <c r="D14" s="471" t="str">
        <f t="shared" si="2"/>
        <v/>
      </c>
      <c r="E14" s="471" t="str">
        <f t="shared" si="2"/>
        <v/>
      </c>
      <c r="F14" s="471" t="str">
        <f t="shared" si="2"/>
        <v/>
      </c>
      <c r="G14" s="471" t="str">
        <f t="shared" si="2"/>
        <v/>
      </c>
      <c r="H14" s="471" t="str">
        <f t="shared" si="2"/>
        <v/>
      </c>
      <c r="I14" s="471" t="str">
        <f t="shared" si="2"/>
        <v/>
      </c>
      <c r="J14" s="403" t="str">
        <f t="shared" si="2"/>
        <v>BÂTIMENTS</v>
      </c>
      <c r="K14" s="403" t="str">
        <f t="shared" si="2"/>
        <v/>
      </c>
      <c r="T14" s="396"/>
      <c r="U14" s="396"/>
      <c r="V14" s="396"/>
      <c r="W14" s="396"/>
      <c r="X14" s="396"/>
      <c r="Y14" s="402"/>
    </row>
    <row r="15" spans="1:95" x14ac:dyDescent="0.35">
      <c r="A15" s="459">
        <v>13</v>
      </c>
      <c r="B15" s="462"/>
      <c r="C15" s="461"/>
      <c r="D15" s="461"/>
      <c r="E15" s="461"/>
      <c r="F15" s="461"/>
      <c r="G15" s="461"/>
      <c r="H15" s="461"/>
      <c r="I15" s="463"/>
      <c r="T15" s="396"/>
      <c r="U15" s="396"/>
      <c r="V15" s="396"/>
      <c r="W15" s="396"/>
      <c r="X15" s="396"/>
      <c r="Y15" s="402"/>
    </row>
    <row r="16" spans="1:95" s="90" customFormat="1" x14ac:dyDescent="0.35">
      <c r="A16" s="459">
        <v>14</v>
      </c>
      <c r="B16" s="462"/>
      <c r="C16" s="461">
        <v>1</v>
      </c>
      <c r="D16" s="461">
        <v>2</v>
      </c>
      <c r="E16" s="461">
        <v>3</v>
      </c>
      <c r="F16" s="461">
        <v>4</v>
      </c>
      <c r="G16" s="461">
        <v>5</v>
      </c>
      <c r="H16" s="461">
        <v>6</v>
      </c>
      <c r="I16" s="463">
        <v>7</v>
      </c>
      <c r="J16" s="463">
        <v>8</v>
      </c>
      <c r="K16" s="463">
        <v>9</v>
      </c>
      <c r="L16" s="458"/>
      <c r="N16" s="464"/>
      <c r="T16" s="459"/>
      <c r="U16" s="459"/>
      <c r="V16" s="459"/>
      <c r="W16" s="459"/>
      <c r="X16" s="459"/>
      <c r="Y16" s="465"/>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59"/>
      <c r="BZ16" s="459"/>
      <c r="CA16" s="459"/>
      <c r="CB16" s="459"/>
      <c r="CC16" s="459"/>
      <c r="CD16" s="459"/>
      <c r="CE16" s="459"/>
      <c r="CF16" s="459"/>
      <c r="CG16" s="459"/>
      <c r="CH16" s="459"/>
      <c r="CI16" s="459"/>
      <c r="CJ16" s="459"/>
      <c r="CK16" s="459"/>
      <c r="CL16" s="459"/>
      <c r="CM16" s="459"/>
      <c r="CN16" s="459"/>
      <c r="CO16" s="459"/>
      <c r="CP16" s="459"/>
      <c r="CQ16" s="459"/>
    </row>
    <row r="17" spans="1:95" s="90" customFormat="1" x14ac:dyDescent="0.35">
      <c r="A17" s="459">
        <v>15</v>
      </c>
      <c r="B17" s="462">
        <v>0</v>
      </c>
      <c r="C17" s="461">
        <f>HLOOKUP(C16,AB74:$AH$81,$AA$73+1,0)</f>
        <v>1</v>
      </c>
      <c r="D17" s="461">
        <f>HLOOKUP(D16,AC74:$AH$81,$AA$73+1,0)</f>
        <v>2</v>
      </c>
      <c r="E17" s="461">
        <f>HLOOKUP(E16,AD74:$AH$81,$AA$73+1,0)</f>
        <v>3</v>
      </c>
      <c r="F17" s="461">
        <f>HLOOKUP(F16,AE74:$AH$81,$AA$73+1,0)</f>
        <v>4</v>
      </c>
      <c r="G17" s="461">
        <f>HLOOKUP(G16,AF74:$AH$81,$AA$73+1,0)</f>
        <v>5</v>
      </c>
      <c r="H17" s="461">
        <f>HLOOKUP(H16,AG74:$AH$81,$AA$73+1,0)</f>
        <v>6</v>
      </c>
      <c r="I17" s="461">
        <f>HLOOKUP(I16,AH74:$AH$81,$AA$73+1,0)</f>
        <v>7</v>
      </c>
      <c r="J17" s="463"/>
      <c r="K17" s="463"/>
      <c r="L17" s="458"/>
      <c r="N17" s="464"/>
      <c r="T17" s="459"/>
      <c r="U17" s="459"/>
      <c r="V17" s="459"/>
      <c r="W17" s="459"/>
      <c r="X17" s="459"/>
      <c r="Y17" s="465"/>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c r="BK17" s="459"/>
      <c r="BL17" s="459"/>
      <c r="BM17" s="459"/>
      <c r="BN17" s="459"/>
      <c r="BO17" s="459"/>
      <c r="BP17" s="459"/>
      <c r="BQ17" s="459"/>
      <c r="BR17" s="459"/>
      <c r="BS17" s="459"/>
      <c r="BT17" s="459"/>
      <c r="BU17" s="459"/>
      <c r="BV17" s="459"/>
      <c r="BW17" s="459"/>
      <c r="BX17" s="459"/>
      <c r="BY17" s="459"/>
      <c r="BZ17" s="459"/>
      <c r="CA17" s="459"/>
      <c r="CB17" s="459"/>
      <c r="CC17" s="459"/>
      <c r="CD17" s="459"/>
      <c r="CE17" s="459"/>
      <c r="CF17" s="459"/>
      <c r="CG17" s="459"/>
      <c r="CH17" s="459"/>
      <c r="CI17" s="459"/>
      <c r="CJ17" s="459"/>
      <c r="CK17" s="459"/>
      <c r="CL17" s="459"/>
      <c r="CM17" s="459"/>
      <c r="CN17" s="459"/>
      <c r="CO17" s="459"/>
      <c r="CP17" s="459"/>
      <c r="CQ17" s="459"/>
    </row>
    <row r="18" spans="1:95" ht="65" customHeight="1" x14ac:dyDescent="0.35">
      <c r="A18" s="461"/>
      <c r="B18" s="472" t="s">
        <v>122</v>
      </c>
      <c r="C18" s="405" t="str">
        <f t="shared" ref="C18:I18" si="3">IF(ISERROR(IF($A18&lt;$N$45,HLOOKUP(C$17,$P$72:$Y$117,$A18+6,0),VLOOKUP($A18,$N$45:$Y$55,C$17+11-$Y$74,0))),
"",
IF($A18&lt;$N$45,HLOOKUP(C$17,$P$72:$Y$117,$A18+6,0),VLOOKUP($A18,$N$45:$Y$55,C$17+11-$Y$74,0)))</f>
        <v/>
      </c>
      <c r="D18" s="405" t="str">
        <f t="shared" si="3"/>
        <v/>
      </c>
      <c r="E18" s="405" t="str">
        <f t="shared" si="3"/>
        <v/>
      </c>
      <c r="F18" s="405" t="str">
        <f t="shared" si="3"/>
        <v/>
      </c>
      <c r="G18" s="405" t="str">
        <f t="shared" si="3"/>
        <v/>
      </c>
      <c r="H18" s="405" t="str">
        <f t="shared" si="3"/>
        <v/>
      </c>
      <c r="I18" s="405" t="str">
        <f t="shared" si="3"/>
        <v/>
      </c>
      <c r="J18" s="405" t="str">
        <f>IF(ISERROR(IF($A18&lt;$N$45,HLOOKUP(J$16,$P$72:$Y$117,$A18+6,0),VLOOKUP($A18,$N$45:$Y$55,J$16+11-$Y$74,0))),
"",
IF($A18&lt;$N$45,HLOOKUP(J$16,$P$72:$Y$117,$A18+6,0),VLOOKUP($A18,$N$45:$Y$55,J$16+11-$Y$74,0)))</f>
        <v>Renseigner la partie Commentaire*</v>
      </c>
      <c r="K18" s="398" t="str">
        <f>IF(ISERROR(IF($A18&lt;$N$45,HLOOKUP(K$16,$P$72:$Y$117,$A18+6,0),VLOOKUP($A18,$N$45:$Y$55,K$16+11-$Y$74,0))),
"",
IF($A18&lt;$N$45,HLOOKUP(K$16,$P$72:$Y$117,$A18+6,0),VLOOKUP($A18,$N$45:$Y$55,K$16+11-$Y$74,0)))</f>
        <v/>
      </c>
      <c r="T18" s="396"/>
      <c r="U18" s="396"/>
      <c r="V18" s="396"/>
      <c r="W18" s="396"/>
      <c r="X18" s="396"/>
      <c r="Y18" s="402"/>
    </row>
    <row r="19" spans="1:95" s="399" customFormat="1" x14ac:dyDescent="0.35">
      <c r="A19" s="461">
        <v>1</v>
      </c>
      <c r="B19" s="406" t="str">
        <f>IF(ISERROR(IF($A19&lt;$N$45,VLOOKUP($A19,$N$77:$Y$117,HLOOKUP(B$17,$O$72:$Y$73,2,FALSE),FALSE),VLOOKUP($A19,$N$45:$Y$67,B$17+3,FALSE))),
"",
IF($A19&lt;$N$45,VLOOKUP($A19,$N$77:$Y$117,HLOOKUP(B$17,$O$72:$Y$73,2,FALSE),FALSE),VLOOKUP($A19,$N$45:$Y$67,B$17+3,FALSE)))</f>
        <v/>
      </c>
      <c r="C19" s="398" t="str">
        <f t="shared" ref="C19:I28" si="4">IF(ISERROR(IF($A19&lt;$N$45,VLOOKUP($A19,$N$77:$Y$117,HLOOKUP(C$17,$O$72:$Y$73,2,FALSE),FALSE),VLOOKUP($A19,$N$45:$Y$57,C$16+3,FALSE))),
"",
IF($A19&lt;$N$45,VLOOKUP($A19,$N$77:$Y$117,HLOOKUP(C$17,$O$72:$Y$73,2,FALSE),FALSE),VLOOKUP($A19,$N$45:$Y$57,C$16+3,FALSE)))</f>
        <v/>
      </c>
      <c r="D19" s="398" t="str">
        <f t="shared" si="4"/>
        <v/>
      </c>
      <c r="E19" s="398" t="str">
        <f t="shared" si="4"/>
        <v/>
      </c>
      <c r="F19" s="398" t="str">
        <f t="shared" si="4"/>
        <v/>
      </c>
      <c r="G19" s="398" t="str">
        <f t="shared" si="4"/>
        <v/>
      </c>
      <c r="H19" s="398" t="str">
        <f t="shared" si="4"/>
        <v/>
      </c>
      <c r="I19" s="398" t="str">
        <f t="shared" si="4"/>
        <v/>
      </c>
      <c r="J19" s="398" t="str">
        <f t="shared" ref="J19:K38" si="5">IF(ISERROR(IF($A19&lt;$N$45,VLOOKUP($A19,$N$77:$Y$117,HLOOKUP(J$16,$O$72:$Y$73,2,FALSE),FALSE),VLOOKUP($A19,$N$45:$Y$57,J$16+3,FALSE))),
"",
IF($A19&lt;$N$45,VLOOKUP($A19,$N$77:$Y$117,HLOOKUP(J$16,$O$72:$Y$73,2,FALSE),FALSE),VLOOKUP($A19,$N$45:$Y$57,J$16+3,FALSE)))</f>
        <v/>
      </c>
      <c r="K19" s="398" t="str">
        <f t="shared" si="5"/>
        <v/>
      </c>
      <c r="L19" s="458"/>
      <c r="M19" s="404"/>
      <c r="N19" s="404"/>
      <c r="O19" s="404"/>
      <c r="P19" s="53"/>
      <c r="Q19" s="53"/>
      <c r="R19" s="53"/>
      <c r="S19" s="53"/>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c r="CC19" s="404"/>
      <c r="CD19" s="404"/>
      <c r="CE19" s="404"/>
      <c r="CF19" s="404"/>
      <c r="CG19" s="404"/>
      <c r="CH19" s="404"/>
      <c r="CI19" s="404"/>
      <c r="CJ19" s="404"/>
      <c r="CK19" s="404"/>
      <c r="CL19" s="404"/>
      <c r="CM19" s="404"/>
      <c r="CN19" s="404"/>
      <c r="CO19" s="404"/>
      <c r="CP19" s="404"/>
      <c r="CQ19" s="404"/>
    </row>
    <row r="20" spans="1:95" s="399" customFormat="1" x14ac:dyDescent="0.35">
      <c r="A20" s="461">
        <v>2</v>
      </c>
      <c r="B20" s="406" t="str">
        <f t="shared" ref="B20:B83" si="6">IF(ISERROR(IF($A20&lt;$N$45,VLOOKUP($A20,$N$77:$Y$117,HLOOKUP(B$17,$O$72:$Y$73,2,FALSE),FALSE),VLOOKUP($A20,$N$45:$Y$67,B$17+3,FALSE))),
"",
IF($A20&lt;$N$45,VLOOKUP($A20,$N$77:$Y$117,HLOOKUP(B$17,$O$72:$Y$73,2,FALSE),FALSE),VLOOKUP($A20,$N$45:$Y$67,B$17+3,FALSE)))</f>
        <v/>
      </c>
      <c r="C20" s="398" t="str">
        <f t="shared" si="4"/>
        <v/>
      </c>
      <c r="D20" s="398" t="str">
        <f t="shared" si="4"/>
        <v/>
      </c>
      <c r="E20" s="398" t="str">
        <f t="shared" si="4"/>
        <v/>
      </c>
      <c r="F20" s="398" t="str">
        <f t="shared" si="4"/>
        <v/>
      </c>
      <c r="G20" s="398" t="str">
        <f t="shared" si="4"/>
        <v/>
      </c>
      <c r="H20" s="398" t="str">
        <f t="shared" si="4"/>
        <v/>
      </c>
      <c r="I20" s="398" t="str">
        <f t="shared" si="4"/>
        <v/>
      </c>
      <c r="J20" s="398" t="str">
        <f t="shared" si="5"/>
        <v>TOUT SUPPRIMER</v>
      </c>
      <c r="K20" s="398" t="str">
        <f t="shared" si="5"/>
        <v/>
      </c>
      <c r="L20" s="458"/>
      <c r="P20" s="53"/>
      <c r="Q20" s="53"/>
      <c r="R20" s="53"/>
      <c r="S20" s="53"/>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4"/>
      <c r="AV20" s="404"/>
      <c r="AW20" s="404"/>
      <c r="AX20" s="404"/>
      <c r="AY20" s="404"/>
      <c r="AZ20" s="404"/>
      <c r="BA20" s="404"/>
      <c r="BB20" s="404"/>
      <c r="BC20" s="404"/>
      <c r="BD20" s="404"/>
      <c r="BE20" s="404"/>
      <c r="BF20" s="404"/>
      <c r="BG20" s="404"/>
      <c r="BH20" s="404"/>
      <c r="BI20" s="404"/>
      <c r="BJ20" s="404"/>
      <c r="BK20" s="404"/>
      <c r="BL20" s="404"/>
      <c r="BM20" s="404"/>
      <c r="BN20" s="404"/>
      <c r="BO20" s="404"/>
      <c r="BP20" s="404"/>
      <c r="BQ20" s="404"/>
      <c r="BR20" s="404"/>
      <c r="BS20" s="404"/>
      <c r="BT20" s="404"/>
      <c r="BU20" s="404"/>
      <c r="BV20" s="404"/>
      <c r="BW20" s="404"/>
      <c r="BX20" s="404"/>
      <c r="BY20" s="404"/>
      <c r="BZ20" s="404"/>
      <c r="CA20" s="404"/>
      <c r="CB20" s="404"/>
      <c r="CC20" s="404"/>
      <c r="CD20" s="404"/>
      <c r="CE20" s="404"/>
      <c r="CF20" s="404"/>
      <c r="CG20" s="404"/>
      <c r="CH20" s="404"/>
      <c r="CI20" s="404"/>
      <c r="CJ20" s="404"/>
      <c r="CK20" s="404"/>
      <c r="CL20" s="404"/>
      <c r="CM20" s="404"/>
      <c r="CN20" s="404"/>
      <c r="CO20" s="404"/>
      <c r="CP20" s="404"/>
      <c r="CQ20" s="404"/>
    </row>
    <row r="21" spans="1:95" s="399" customFormat="1" x14ac:dyDescent="0.35">
      <c r="A21" s="461">
        <v>3</v>
      </c>
      <c r="B21" s="406" t="str">
        <f t="shared" si="6"/>
        <v/>
      </c>
      <c r="C21" s="398" t="str">
        <f t="shared" si="4"/>
        <v/>
      </c>
      <c r="D21" s="398" t="str">
        <f t="shared" si="4"/>
        <v/>
      </c>
      <c r="E21" s="398" t="str">
        <f t="shared" si="4"/>
        <v/>
      </c>
      <c r="F21" s="398" t="str">
        <f t="shared" si="4"/>
        <v/>
      </c>
      <c r="G21" s="398" t="str">
        <f t="shared" si="4"/>
        <v/>
      </c>
      <c r="H21" s="398" t="str">
        <f t="shared" si="4"/>
        <v/>
      </c>
      <c r="I21" s="398" t="str">
        <f t="shared" si="4"/>
        <v/>
      </c>
      <c r="J21" s="398" t="str">
        <f t="shared" si="5"/>
        <v/>
      </c>
      <c r="K21" s="398" t="str">
        <f t="shared" si="5"/>
        <v/>
      </c>
      <c r="L21" s="458"/>
      <c r="P21" s="53"/>
      <c r="Q21" s="53"/>
      <c r="R21" s="53"/>
      <c r="S21" s="53"/>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c r="BV21" s="404"/>
      <c r="BW21" s="404"/>
      <c r="BX21" s="404"/>
      <c r="BY21" s="404"/>
      <c r="BZ21" s="404"/>
      <c r="CA21" s="404"/>
      <c r="CB21" s="404"/>
      <c r="CC21" s="404"/>
      <c r="CD21" s="404"/>
      <c r="CE21" s="404"/>
      <c r="CF21" s="404"/>
      <c r="CG21" s="404"/>
      <c r="CH21" s="404"/>
      <c r="CI21" s="404"/>
      <c r="CJ21" s="404"/>
      <c r="CK21" s="404"/>
      <c r="CL21" s="404"/>
      <c r="CM21" s="404"/>
      <c r="CN21" s="404"/>
      <c r="CO21" s="404"/>
      <c r="CP21" s="404"/>
      <c r="CQ21" s="404"/>
    </row>
    <row r="22" spans="1:95" s="399" customFormat="1" x14ac:dyDescent="0.35">
      <c r="A22" s="461">
        <v>4</v>
      </c>
      <c r="B22" s="406" t="str">
        <f t="shared" si="6"/>
        <v/>
      </c>
      <c r="C22" s="398" t="str">
        <f t="shared" si="4"/>
        <v/>
      </c>
      <c r="D22" s="398" t="str">
        <f t="shared" si="4"/>
        <v/>
      </c>
      <c r="E22" s="398" t="str">
        <f t="shared" si="4"/>
        <v/>
      </c>
      <c r="F22" s="398" t="str">
        <f t="shared" si="4"/>
        <v/>
      </c>
      <c r="G22" s="398" t="str">
        <f t="shared" si="4"/>
        <v/>
      </c>
      <c r="H22" s="398" t="str">
        <f t="shared" si="4"/>
        <v>ANNULER</v>
      </c>
      <c r="I22" s="398" t="str">
        <f t="shared" si="4"/>
        <v>ENREGISTRER</v>
      </c>
      <c r="J22" s="398" t="str">
        <f t="shared" si="5"/>
        <v>VALIDER</v>
      </c>
      <c r="K22" s="398" t="str">
        <f t="shared" si="5"/>
        <v/>
      </c>
      <c r="L22" s="458"/>
      <c r="P22" s="53"/>
      <c r="Q22" s="53"/>
      <c r="R22" s="53"/>
      <c r="S22" s="53"/>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404"/>
      <c r="CP22" s="404"/>
      <c r="CQ22" s="404"/>
    </row>
    <row r="23" spans="1:95" x14ac:dyDescent="0.35">
      <c r="A23" s="461">
        <v>5</v>
      </c>
      <c r="B23" s="406" t="str">
        <f t="shared" si="6"/>
        <v/>
      </c>
      <c r="C23" s="398" t="str">
        <f t="shared" si="4"/>
        <v/>
      </c>
      <c r="D23" s="398" t="str">
        <f t="shared" si="4"/>
        <v/>
      </c>
      <c r="E23" s="398" t="str">
        <f t="shared" si="4"/>
        <v/>
      </c>
      <c r="F23" s="398" t="str">
        <f t="shared" si="4"/>
        <v/>
      </c>
      <c r="G23" s="398" t="str">
        <f t="shared" si="4"/>
        <v/>
      </c>
      <c r="H23" s="398" t="str">
        <f t="shared" si="4"/>
        <v/>
      </c>
      <c r="I23" s="398" t="str">
        <f t="shared" si="4"/>
        <v/>
      </c>
      <c r="J23" s="398" t="str">
        <f t="shared" si="5"/>
        <v/>
      </c>
      <c r="K23" s="398" t="str">
        <f t="shared" si="5"/>
        <v/>
      </c>
      <c r="T23" s="396"/>
      <c r="U23" s="396"/>
      <c r="V23" s="396"/>
      <c r="W23" s="396"/>
      <c r="X23" s="396"/>
      <c r="Y23" s="402"/>
    </row>
    <row r="24" spans="1:95" x14ac:dyDescent="0.35">
      <c r="A24" s="461">
        <v>6</v>
      </c>
      <c r="B24" s="406" t="str">
        <f t="shared" si="6"/>
        <v>EMISSIONS TOTALES</v>
      </c>
      <c r="C24" s="398" t="str">
        <f t="shared" si="4"/>
        <v/>
      </c>
      <c r="D24" s="398" t="str">
        <f t="shared" si="4"/>
        <v/>
      </c>
      <c r="E24" s="398" t="str">
        <f t="shared" si="4"/>
        <v/>
      </c>
      <c r="F24" s="398" t="str">
        <f t="shared" si="4"/>
        <v/>
      </c>
      <c r="G24" s="398" t="str">
        <f t="shared" si="4"/>
        <v/>
      </c>
      <c r="H24" s="398" t="str">
        <f t="shared" si="4"/>
        <v/>
      </c>
      <c r="I24" s="398" t="str">
        <f t="shared" si="4"/>
        <v/>
      </c>
      <c r="J24" s="398" t="str">
        <f t="shared" si="5"/>
        <v/>
      </c>
      <c r="K24" s="398" t="str">
        <f t="shared" si="5"/>
        <v/>
      </c>
      <c r="T24" s="396"/>
      <c r="U24" s="396"/>
      <c r="V24" s="396"/>
      <c r="W24" s="396"/>
      <c r="X24" s="407"/>
      <c r="Y24" s="402"/>
      <c r="CC24" s="408"/>
    </row>
    <row r="25" spans="1:95" x14ac:dyDescent="0.35">
      <c r="A25" s="461">
        <v>7</v>
      </c>
      <c r="B25" s="406" t="str">
        <f t="shared" si="6"/>
        <v/>
      </c>
      <c r="C25" s="398" t="str">
        <f t="shared" si="4"/>
        <v/>
      </c>
      <c r="D25" s="398" t="str">
        <f t="shared" si="4"/>
        <v/>
      </c>
      <c r="E25" s="398" t="str">
        <f t="shared" si="4"/>
        <v/>
      </c>
      <c r="F25" s="398" t="str">
        <f t="shared" si="4"/>
        <v/>
      </c>
      <c r="G25" s="398" t="str">
        <f t="shared" si="4"/>
        <v/>
      </c>
      <c r="H25" s="398" t="str">
        <f t="shared" si="4"/>
        <v>NH3</v>
      </c>
      <c r="I25" s="398">
        <f t="shared" si="4"/>
        <v>0</v>
      </c>
      <c r="J25" s="398" t="str">
        <f t="shared" si="5"/>
        <v>kg/an</v>
      </c>
      <c r="K25" s="398" t="str">
        <f t="shared" si="5"/>
        <v/>
      </c>
      <c r="V25" s="396"/>
      <c r="W25" s="396"/>
      <c r="X25" s="396"/>
      <c r="Y25" s="402"/>
    </row>
    <row r="26" spans="1:95" x14ac:dyDescent="0.35">
      <c r="A26" s="461">
        <v>8</v>
      </c>
      <c r="B26" s="406" t="str">
        <f t="shared" si="6"/>
        <v/>
      </c>
      <c r="C26" s="398" t="str">
        <f t="shared" si="4"/>
        <v/>
      </c>
      <c r="D26" s="398" t="str">
        <f t="shared" si="4"/>
        <v/>
      </c>
      <c r="E26" s="398" t="str">
        <f t="shared" si="4"/>
        <v/>
      </c>
      <c r="F26" s="398" t="str">
        <f t="shared" si="4"/>
        <v/>
      </c>
      <c r="G26" s="398" t="str">
        <f t="shared" si="4"/>
        <v/>
      </c>
      <c r="H26" s="398" t="str">
        <f t="shared" si="4"/>
        <v>N2O</v>
      </c>
      <c r="I26" s="398">
        <f t="shared" si="4"/>
        <v>0</v>
      </c>
      <c r="J26" s="398" t="str">
        <f t="shared" si="5"/>
        <v>kg/an</v>
      </c>
      <c r="K26" s="398" t="str">
        <f t="shared" si="5"/>
        <v/>
      </c>
      <c r="T26" s="396"/>
      <c r="U26" s="396"/>
      <c r="V26" s="396"/>
      <c r="W26" s="396"/>
      <c r="X26" s="396"/>
      <c r="Y26" s="402"/>
    </row>
    <row r="27" spans="1:95" x14ac:dyDescent="0.35">
      <c r="A27" s="461">
        <v>9</v>
      </c>
      <c r="B27" s="406" t="str">
        <f t="shared" si="6"/>
        <v/>
      </c>
      <c r="C27" s="398" t="str">
        <f t="shared" si="4"/>
        <v/>
      </c>
      <c r="D27" s="398" t="str">
        <f t="shared" si="4"/>
        <v/>
      </c>
      <c r="E27" s="398" t="str">
        <f t="shared" si="4"/>
        <v/>
      </c>
      <c r="F27" s="398" t="str">
        <f t="shared" si="4"/>
        <v/>
      </c>
      <c r="G27" s="398" t="str">
        <f t="shared" si="4"/>
        <v/>
      </c>
      <c r="H27" s="398" t="str">
        <f t="shared" si="4"/>
        <v>CH4</v>
      </c>
      <c r="I27" s="398">
        <f t="shared" si="4"/>
        <v>0</v>
      </c>
      <c r="J27" s="398" t="str">
        <f t="shared" si="5"/>
        <v>kg/an</v>
      </c>
      <c r="K27" s="398" t="str">
        <f t="shared" si="5"/>
        <v/>
      </c>
      <c r="T27" s="396"/>
      <c r="U27" s="396"/>
      <c r="V27" s="396"/>
      <c r="W27" s="396"/>
      <c r="X27" s="396"/>
      <c r="Y27" s="402"/>
    </row>
    <row r="28" spans="1:95" ht="15" thickBot="1" x14ac:dyDescent="0.4">
      <c r="A28" s="461">
        <v>10</v>
      </c>
      <c r="B28" s="406" t="str">
        <f t="shared" si="6"/>
        <v/>
      </c>
      <c r="C28" s="398" t="str">
        <f t="shared" si="4"/>
        <v/>
      </c>
      <c r="D28" s="398" t="str">
        <f t="shared" si="4"/>
        <v/>
      </c>
      <c r="E28" s="398" t="str">
        <f t="shared" si="4"/>
        <v/>
      </c>
      <c r="F28" s="398" t="str">
        <f t="shared" si="4"/>
        <v/>
      </c>
      <c r="G28" s="398" t="str">
        <f t="shared" si="4"/>
        <v/>
      </c>
      <c r="H28" s="398" t="str">
        <f t="shared" si="4"/>
        <v>TSP</v>
      </c>
      <c r="I28" s="398">
        <f t="shared" si="4"/>
        <v>0</v>
      </c>
      <c r="J28" s="398" t="str">
        <f t="shared" si="5"/>
        <v>kg/an</v>
      </c>
      <c r="K28" s="398" t="str">
        <f t="shared" si="5"/>
        <v/>
      </c>
      <c r="Y28" s="396"/>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row>
    <row r="29" spans="1:95" x14ac:dyDescent="0.35">
      <c r="A29" s="461">
        <v>11</v>
      </c>
      <c r="B29" s="406" t="str">
        <f t="shared" si="6"/>
        <v>*Abréviations</v>
      </c>
      <c r="C29" s="398" t="str">
        <f t="shared" ref="C29:I38" si="7">IF(ISERROR(IF($A29&lt;$N$45,VLOOKUP($A29,$N$77:$Y$117,HLOOKUP(C$17,$O$72:$Y$73,2,FALSE),FALSE),VLOOKUP($A29,$N$45:$Y$57,C$16+3,FALSE))),
"",
IF($A29&lt;$N$45,VLOOKUP($A29,$N$77:$Y$117,HLOOKUP(C$17,$O$72:$Y$73,2,FALSE),FALSE),VLOOKUP($A29,$N$45:$Y$57,C$16+3,FALSE)))</f>
        <v/>
      </c>
      <c r="D29" s="398" t="str">
        <f t="shared" si="7"/>
        <v/>
      </c>
      <c r="E29" s="398" t="str">
        <f t="shared" si="7"/>
        <v/>
      </c>
      <c r="F29" s="398" t="str">
        <f t="shared" si="7"/>
        <v/>
      </c>
      <c r="G29" s="398" t="str">
        <f t="shared" si="7"/>
        <v/>
      </c>
      <c r="H29" s="398" t="str">
        <f t="shared" si="7"/>
        <v>PM10</v>
      </c>
      <c r="I29" s="398">
        <f t="shared" si="7"/>
        <v>0</v>
      </c>
      <c r="J29" s="398" t="str">
        <f t="shared" si="5"/>
        <v>kg/an</v>
      </c>
      <c r="K29" s="398" t="str">
        <f t="shared" si="5"/>
        <v/>
      </c>
      <c r="M29" s="586" t="s">
        <v>788</v>
      </c>
      <c r="N29" s="409" t="s">
        <v>789</v>
      </c>
      <c r="O29" s="410"/>
      <c r="P29" s="410"/>
      <c r="Q29" s="410"/>
      <c r="R29" s="410"/>
      <c r="S29" s="410"/>
      <c r="T29" s="410"/>
      <c r="U29" s="410"/>
      <c r="V29" s="410"/>
      <c r="W29" s="410"/>
      <c r="X29" s="410"/>
      <c r="Y29" s="410"/>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row>
    <row r="30" spans="1:95" x14ac:dyDescent="0.35">
      <c r="A30" s="461">
        <v>12</v>
      </c>
      <c r="B30" s="406" t="str">
        <f t="shared" si="6"/>
        <v>Coch : Cochettes</v>
      </c>
      <c r="C30" s="398" t="str">
        <f t="shared" si="7"/>
        <v/>
      </c>
      <c r="D30" s="398" t="str">
        <f t="shared" si="7"/>
        <v/>
      </c>
      <c r="E30" s="398" t="str">
        <f t="shared" si="7"/>
        <v/>
      </c>
      <c r="F30" s="398" t="str">
        <f t="shared" si="7"/>
        <v/>
      </c>
      <c r="G30" s="398" t="str">
        <f t="shared" si="7"/>
        <v/>
      </c>
      <c r="H30" s="398" t="str">
        <f t="shared" si="7"/>
        <v/>
      </c>
      <c r="I30" s="398" t="str">
        <f t="shared" si="7"/>
        <v/>
      </c>
      <c r="J30" s="398" t="str">
        <f t="shared" si="5"/>
        <v/>
      </c>
      <c r="K30" s="398" t="str">
        <f t="shared" si="5"/>
        <v/>
      </c>
      <c r="M30" s="587"/>
      <c r="N30" s="411">
        <v>1</v>
      </c>
      <c r="O30" s="412"/>
      <c r="P30" s="412"/>
      <c r="Q30" s="412"/>
      <c r="R30" s="412"/>
      <c r="S30" s="412"/>
      <c r="T30" s="412"/>
      <c r="U30" s="412"/>
      <c r="V30" s="412"/>
      <c r="W30" s="412"/>
      <c r="X30" s="412"/>
      <c r="Y30" s="412"/>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row>
    <row r="31" spans="1:95" x14ac:dyDescent="0.35">
      <c r="A31" s="461">
        <v>13</v>
      </c>
      <c r="B31" s="406" t="str">
        <f t="shared" si="6"/>
        <v>PS : Porcelets en post-sevrage</v>
      </c>
      <c r="C31" s="398" t="str">
        <f t="shared" si="7"/>
        <v/>
      </c>
      <c r="D31" s="398" t="str">
        <f t="shared" si="7"/>
        <v/>
      </c>
      <c r="E31" s="398" t="str">
        <f t="shared" si="7"/>
        <v/>
      </c>
      <c r="F31" s="398" t="str">
        <f t="shared" si="7"/>
        <v/>
      </c>
      <c r="G31" s="398" t="str">
        <f t="shared" si="7"/>
        <v/>
      </c>
      <c r="H31" s="398" t="str">
        <f t="shared" si="7"/>
        <v/>
      </c>
      <c r="I31" s="398" t="str">
        <f t="shared" si="7"/>
        <v/>
      </c>
      <c r="J31" s="398" t="str">
        <f t="shared" si="5"/>
        <v>VALIDER</v>
      </c>
      <c r="K31" s="398" t="str">
        <f t="shared" si="5"/>
        <v/>
      </c>
      <c r="M31" s="587"/>
      <c r="N31" s="411">
        <v>2</v>
      </c>
      <c r="O31" s="412" t="e">
        <f>#N/A</f>
        <v>#N/A</v>
      </c>
      <c r="P31" s="412" t="e">
        <f>#N/A</f>
        <v>#N/A</v>
      </c>
      <c r="Q31" s="412" t="e">
        <f>#N/A</f>
        <v>#N/A</v>
      </c>
      <c r="R31" s="412" t="e">
        <f>#N/A</f>
        <v>#N/A</v>
      </c>
      <c r="S31" s="412" t="e">
        <f>#N/A</f>
        <v>#N/A</v>
      </c>
      <c r="T31" s="412" t="e">
        <f>#N/A</f>
        <v>#N/A</v>
      </c>
      <c r="U31" s="413" t="str">
        <f>IF($Y$74&lt;&gt;9,"ELEVAGE",#N/A)</f>
        <v>ELEVAGE</v>
      </c>
      <c r="V31" s="413" t="e">
        <f>IF($Y$74=9,"ELEVAGE",#N/A)</f>
        <v>#N/A</v>
      </c>
      <c r="W31" s="412" t="e">
        <f>#N/A</f>
        <v>#N/A</v>
      </c>
      <c r="X31" s="412" t="e">
        <f>#N/A</f>
        <v>#N/A</v>
      </c>
      <c r="Y31" s="412" t="e">
        <f>#N/A</f>
        <v>#N/A</v>
      </c>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row>
    <row r="32" spans="1:95" x14ac:dyDescent="0.35">
      <c r="A32" s="461">
        <v>14</v>
      </c>
      <c r="B32" s="406" t="str">
        <f t="shared" si="6"/>
        <v>PP : Porcs de production</v>
      </c>
      <c r="C32" s="398" t="str">
        <f t="shared" si="7"/>
        <v/>
      </c>
      <c r="D32" s="398" t="str">
        <f t="shared" si="7"/>
        <v/>
      </c>
      <c r="E32" s="398" t="str">
        <f t="shared" si="7"/>
        <v/>
      </c>
      <c r="F32" s="398" t="str">
        <f t="shared" si="7"/>
        <v/>
      </c>
      <c r="G32" s="398" t="str">
        <f t="shared" si="7"/>
        <v/>
      </c>
      <c r="H32" s="398" t="str">
        <f t="shared" si="7"/>
        <v/>
      </c>
      <c r="I32" s="398" t="str">
        <f t="shared" si="7"/>
        <v/>
      </c>
      <c r="J32" s="398" t="str">
        <f t="shared" si="5"/>
        <v/>
      </c>
      <c r="K32" s="398" t="str">
        <f t="shared" si="5"/>
        <v/>
      </c>
      <c r="M32" s="587"/>
      <c r="N32" s="411">
        <v>3</v>
      </c>
      <c r="O32" s="412"/>
      <c r="P32" s="412"/>
      <c r="Q32" s="412"/>
      <c r="R32" s="412"/>
      <c r="S32" s="412"/>
      <c r="T32" s="412"/>
      <c r="U32" s="412"/>
      <c r="V32" s="412"/>
      <c r="W32" s="412"/>
      <c r="X32" s="412"/>
      <c r="Y32" s="412"/>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row>
    <row r="33" spans="1:81" x14ac:dyDescent="0.35">
      <c r="A33" s="461">
        <v>15</v>
      </c>
      <c r="B33" s="406" t="str">
        <f t="shared" si="6"/>
        <v>TAS : Truies en attente de saillie</v>
      </c>
      <c r="C33" s="398" t="str">
        <f t="shared" si="7"/>
        <v/>
      </c>
      <c r="D33" s="398" t="str">
        <f t="shared" si="7"/>
        <v/>
      </c>
      <c r="E33" s="398" t="str">
        <f t="shared" si="7"/>
        <v/>
      </c>
      <c r="F33" s="398" t="str">
        <f t="shared" si="7"/>
        <v/>
      </c>
      <c r="G33" s="398" t="str">
        <f t="shared" si="7"/>
        <v/>
      </c>
      <c r="H33" s="398" t="str">
        <f t="shared" si="7"/>
        <v/>
      </c>
      <c r="I33" s="398" t="str">
        <f t="shared" si="7"/>
        <v/>
      </c>
      <c r="J33" s="398" t="str">
        <f t="shared" si="5"/>
        <v/>
      </c>
      <c r="K33" s="398" t="str">
        <f t="shared" si="5"/>
        <v/>
      </c>
      <c r="M33" s="587"/>
      <c r="N33" s="411">
        <v>4</v>
      </c>
      <c r="O33" s="412"/>
      <c r="P33" s="412"/>
      <c r="Q33" s="412"/>
      <c r="R33" s="412"/>
      <c r="S33" s="412"/>
      <c r="T33" s="412"/>
      <c r="U33" s="412"/>
      <c r="V33" s="412"/>
      <c r="W33" s="412"/>
      <c r="X33" s="412"/>
      <c r="Y33" s="412"/>
    </row>
    <row r="34" spans="1:81" x14ac:dyDescent="0.35">
      <c r="A34" s="461">
        <v>16</v>
      </c>
      <c r="B34" s="406" t="str">
        <f t="shared" si="6"/>
        <v>TG : Truies gestantes</v>
      </c>
      <c r="C34" s="398" t="str">
        <f t="shared" si="7"/>
        <v/>
      </c>
      <c r="D34" s="398" t="str">
        <f t="shared" si="7"/>
        <v/>
      </c>
      <c r="E34" s="398" t="str">
        <f t="shared" si="7"/>
        <v/>
      </c>
      <c r="F34" s="398" t="str">
        <f t="shared" si="7"/>
        <v/>
      </c>
      <c r="G34" s="398" t="str">
        <f t="shared" si="7"/>
        <v/>
      </c>
      <c r="H34" s="398" t="str">
        <f t="shared" si="7"/>
        <v/>
      </c>
      <c r="I34" s="398" t="str">
        <f t="shared" si="7"/>
        <v/>
      </c>
      <c r="J34" s="398" t="str">
        <f t="shared" si="5"/>
        <v/>
      </c>
      <c r="K34" s="398" t="str">
        <f t="shared" si="5"/>
        <v/>
      </c>
      <c r="M34" s="587"/>
      <c r="N34" s="411">
        <v>5</v>
      </c>
      <c r="O34" s="412"/>
      <c r="P34" s="412"/>
      <c r="Q34" s="412"/>
      <c r="R34" s="412"/>
      <c r="S34" s="412"/>
      <c r="T34" s="412"/>
      <c r="U34" s="412"/>
      <c r="V34" s="412"/>
      <c r="W34" s="412"/>
      <c r="X34" s="412"/>
      <c r="Y34" s="412"/>
    </row>
    <row r="35" spans="1:81" x14ac:dyDescent="0.35">
      <c r="A35" s="461">
        <v>17</v>
      </c>
      <c r="B35" s="406" t="str">
        <f t="shared" si="6"/>
        <v>TM : Truies en Maternité</v>
      </c>
      <c r="C35" s="398" t="str">
        <f t="shared" si="7"/>
        <v/>
      </c>
      <c r="D35" s="398" t="str">
        <f t="shared" si="7"/>
        <v/>
      </c>
      <c r="E35" s="398" t="str">
        <f t="shared" si="7"/>
        <v/>
      </c>
      <c r="F35" s="398" t="str">
        <f t="shared" si="7"/>
        <v/>
      </c>
      <c r="G35" s="398" t="str">
        <f t="shared" si="7"/>
        <v/>
      </c>
      <c r="H35" s="398" t="str">
        <f t="shared" si="7"/>
        <v/>
      </c>
      <c r="I35" s="398" t="str">
        <f t="shared" si="7"/>
        <v/>
      </c>
      <c r="J35" s="398" t="str">
        <f t="shared" si="5"/>
        <v/>
      </c>
      <c r="K35" s="398" t="str">
        <f t="shared" si="5"/>
        <v/>
      </c>
      <c r="M35" s="587"/>
      <c r="N35" s="411">
        <v>6</v>
      </c>
      <c r="O35" s="412"/>
      <c r="P35" s="412"/>
      <c r="Q35" s="412"/>
      <c r="R35" s="412"/>
      <c r="S35" s="412"/>
      <c r="T35" s="412"/>
      <c r="U35" s="412"/>
      <c r="V35" s="412"/>
      <c r="W35" s="412"/>
      <c r="X35" s="412"/>
      <c r="Y35" s="412"/>
    </row>
    <row r="36" spans="1:81" x14ac:dyDescent="0.35">
      <c r="A36" s="461">
        <v>18</v>
      </c>
      <c r="B36" s="406" t="str">
        <f t="shared" si="6"/>
        <v>Ver : Verrats</v>
      </c>
      <c r="C36" s="398" t="str">
        <f t="shared" si="7"/>
        <v/>
      </c>
      <c r="D36" s="398" t="str">
        <f t="shared" si="7"/>
        <v/>
      </c>
      <c r="E36" s="398" t="str">
        <f t="shared" si="7"/>
        <v/>
      </c>
      <c r="F36" s="398" t="str">
        <f t="shared" si="7"/>
        <v/>
      </c>
      <c r="G36" s="398" t="str">
        <f t="shared" si="7"/>
        <v/>
      </c>
      <c r="H36" s="398" t="str">
        <f t="shared" si="7"/>
        <v/>
      </c>
      <c r="I36" s="398" t="str">
        <f t="shared" si="7"/>
        <v/>
      </c>
      <c r="J36" s="398" t="str">
        <f t="shared" si="5"/>
        <v/>
      </c>
      <c r="K36" s="398" t="str">
        <f t="shared" si="5"/>
        <v/>
      </c>
      <c r="M36" s="587"/>
      <c r="N36" s="411">
        <v>7</v>
      </c>
      <c r="O36" s="412"/>
      <c r="P36" s="412"/>
      <c r="Q36" s="412"/>
      <c r="R36" s="412"/>
      <c r="S36" s="412"/>
      <c r="T36" s="412"/>
      <c r="U36" s="412"/>
      <c r="V36" s="412"/>
      <c r="W36" s="412"/>
      <c r="X36" s="412"/>
      <c r="Y36" s="412"/>
    </row>
    <row r="37" spans="1:81" x14ac:dyDescent="0.35">
      <c r="A37" s="461">
        <v>19</v>
      </c>
      <c r="B37" s="406" t="str">
        <f t="shared" si="6"/>
        <v/>
      </c>
      <c r="C37" s="398" t="str">
        <f t="shared" si="7"/>
        <v/>
      </c>
      <c r="D37" s="398" t="str">
        <f t="shared" si="7"/>
        <v/>
      </c>
      <c r="E37" s="398" t="str">
        <f t="shared" si="7"/>
        <v/>
      </c>
      <c r="F37" s="398" t="str">
        <f t="shared" si="7"/>
        <v/>
      </c>
      <c r="G37" s="398" t="str">
        <f t="shared" si="7"/>
        <v/>
      </c>
      <c r="H37" s="398" t="str">
        <f t="shared" si="7"/>
        <v/>
      </c>
      <c r="I37" s="398" t="str">
        <f t="shared" si="7"/>
        <v/>
      </c>
      <c r="J37" s="398" t="str">
        <f t="shared" si="5"/>
        <v/>
      </c>
      <c r="K37" s="398" t="str">
        <f t="shared" si="5"/>
        <v/>
      </c>
      <c r="M37" s="587"/>
      <c r="N37" s="411">
        <v>8</v>
      </c>
      <c r="O37" s="412"/>
      <c r="P37" s="412"/>
      <c r="Q37" s="412"/>
      <c r="R37" s="412"/>
      <c r="S37" s="412"/>
      <c r="T37" s="412"/>
      <c r="U37" s="412"/>
      <c r="V37" s="412"/>
      <c r="W37" s="412"/>
      <c r="X37" s="412"/>
      <c r="Y37" s="412"/>
    </row>
    <row r="38" spans="1:81" x14ac:dyDescent="0.35">
      <c r="A38" s="461">
        <v>20</v>
      </c>
      <c r="B38" s="406" t="str">
        <f t="shared" si="6"/>
        <v/>
      </c>
      <c r="C38" s="398" t="str">
        <f t="shared" si="7"/>
        <v/>
      </c>
      <c r="D38" s="398" t="str">
        <f t="shared" si="7"/>
        <v/>
      </c>
      <c r="E38" s="398" t="str">
        <f t="shared" si="7"/>
        <v/>
      </c>
      <c r="F38" s="398" t="str">
        <f t="shared" si="7"/>
        <v/>
      </c>
      <c r="G38" s="398" t="str">
        <f t="shared" si="7"/>
        <v/>
      </c>
      <c r="H38" s="398" t="str">
        <f t="shared" si="7"/>
        <v/>
      </c>
      <c r="I38" s="398" t="str">
        <f t="shared" si="7"/>
        <v/>
      </c>
      <c r="J38" s="398" t="str">
        <f t="shared" si="5"/>
        <v/>
      </c>
      <c r="K38" s="398" t="str">
        <f t="shared" si="5"/>
        <v/>
      </c>
      <c r="M38" s="587"/>
      <c r="N38" s="411">
        <v>9</v>
      </c>
      <c r="O38" s="412"/>
      <c r="P38" s="412"/>
      <c r="Q38" s="412"/>
      <c r="R38" s="412"/>
      <c r="S38" s="412"/>
      <c r="T38" s="412"/>
      <c r="U38" s="412"/>
      <c r="V38" s="412"/>
      <c r="W38" s="412"/>
      <c r="X38" s="412"/>
      <c r="Y38" s="412"/>
    </row>
    <row r="39" spans="1:81" x14ac:dyDescent="0.35">
      <c r="A39" s="461">
        <v>21</v>
      </c>
      <c r="B39" s="406" t="str">
        <f t="shared" si="6"/>
        <v/>
      </c>
      <c r="C39" s="398" t="str">
        <f t="shared" ref="C39:I48" si="8">IF(ISERROR(IF($A39&lt;$N$45,VLOOKUP($A39,$N$77:$Y$117,HLOOKUP(C$17,$O$72:$Y$73,2,FALSE),FALSE),VLOOKUP($A39,$N$45:$Y$57,C$16+3,FALSE))),
"",
IF($A39&lt;$N$45,VLOOKUP($A39,$N$77:$Y$117,HLOOKUP(C$17,$O$72:$Y$73,2,FALSE),FALSE),VLOOKUP($A39,$N$45:$Y$57,C$16+3,FALSE)))</f>
        <v/>
      </c>
      <c r="D39" s="398" t="str">
        <f t="shared" si="8"/>
        <v/>
      </c>
      <c r="E39" s="398" t="str">
        <f t="shared" si="8"/>
        <v/>
      </c>
      <c r="F39" s="398" t="str">
        <f t="shared" si="8"/>
        <v/>
      </c>
      <c r="G39" s="398" t="str">
        <f t="shared" si="8"/>
        <v/>
      </c>
      <c r="H39" s="398" t="str">
        <f t="shared" si="8"/>
        <v/>
      </c>
      <c r="I39" s="398" t="str">
        <f t="shared" si="8"/>
        <v/>
      </c>
      <c r="J39" s="398" t="str">
        <f t="shared" ref="J39:K58" si="9">IF(ISERROR(IF($A39&lt;$N$45,VLOOKUP($A39,$N$77:$Y$117,HLOOKUP(J$16,$O$72:$Y$73,2,FALSE),FALSE),VLOOKUP($A39,$N$45:$Y$57,J$16+3,FALSE))),
"",
IF($A39&lt;$N$45,VLOOKUP($A39,$N$77:$Y$117,HLOOKUP(J$16,$O$72:$Y$73,2,FALSE),FALSE),VLOOKUP($A39,$N$45:$Y$57,J$16+3,FALSE)))</f>
        <v/>
      </c>
      <c r="K39" s="398" t="str">
        <f t="shared" si="9"/>
        <v/>
      </c>
      <c r="M39" s="587"/>
      <c r="N39" s="411">
        <v>10</v>
      </c>
      <c r="O39" s="412" t="e">
        <f>#N/A</f>
        <v>#N/A</v>
      </c>
      <c r="P39" s="412" t="e">
        <f>#N/A</f>
        <v>#N/A</v>
      </c>
      <c r="Q39" s="412" t="e">
        <f>#N/A</f>
        <v>#N/A</v>
      </c>
      <c r="R39" s="412" t="e">
        <f>#N/A</f>
        <v>#N/A</v>
      </c>
      <c r="S39" s="412" t="e">
        <f>#N/A</f>
        <v>#N/A</v>
      </c>
      <c r="T39" s="412" t="e">
        <f>#N/A</f>
        <v>#N/A</v>
      </c>
      <c r="U39" s="412" t="e">
        <f>#N/A</f>
        <v>#N/A</v>
      </c>
      <c r="V39" s="412" t="e">
        <f>#N/A</f>
        <v>#N/A</v>
      </c>
      <c r="W39" s="412" t="e">
        <f>#N/A</f>
        <v>#N/A</v>
      </c>
      <c r="X39" s="413" t="str">
        <f>IF($Y$74&lt;&gt;9,"(Voir tableau ci-dessous)",#N/A)</f>
        <v>(Voir tableau ci-dessous)</v>
      </c>
      <c r="Y39" s="413" t="e">
        <f>IF($Y$74=9,"(Voir tableau ci-dessous)",#N/A)</f>
        <v>#N/A</v>
      </c>
    </row>
    <row r="40" spans="1:81" x14ac:dyDescent="0.35">
      <c r="A40" s="461">
        <v>22</v>
      </c>
      <c r="B40" s="406" t="str">
        <f t="shared" si="6"/>
        <v/>
      </c>
      <c r="C40" s="398" t="str">
        <f t="shared" si="8"/>
        <v/>
      </c>
      <c r="D40" s="398" t="str">
        <f t="shared" si="8"/>
        <v/>
      </c>
      <c r="E40" s="398" t="str">
        <f t="shared" si="8"/>
        <v/>
      </c>
      <c r="F40" s="398" t="str">
        <f t="shared" si="8"/>
        <v/>
      </c>
      <c r="G40" s="398" t="str">
        <f t="shared" si="8"/>
        <v/>
      </c>
      <c r="H40" s="398" t="str">
        <f t="shared" si="8"/>
        <v/>
      </c>
      <c r="I40" s="398" t="str">
        <f t="shared" si="8"/>
        <v/>
      </c>
      <c r="J40" s="398" t="str">
        <f t="shared" si="9"/>
        <v/>
      </c>
      <c r="K40" s="398" t="str">
        <f t="shared" si="9"/>
        <v/>
      </c>
      <c r="M40" s="587"/>
      <c r="N40" s="411">
        <v>11</v>
      </c>
      <c r="O40" s="412"/>
      <c r="P40" s="412"/>
      <c r="Q40" s="412" t="e">
        <f>#N/A</f>
        <v>#N/A</v>
      </c>
      <c r="R40" s="412"/>
      <c r="S40" s="412"/>
      <c r="T40" s="412"/>
      <c r="U40" s="412"/>
      <c r="V40" s="412"/>
      <c r="W40" s="412"/>
      <c r="X40" s="412"/>
      <c r="Y40" s="412"/>
    </row>
    <row r="41" spans="1:81" x14ac:dyDescent="0.35">
      <c r="A41" s="461">
        <v>23</v>
      </c>
      <c r="B41" s="406" t="str">
        <f t="shared" si="6"/>
        <v/>
      </c>
      <c r="C41" s="398" t="str">
        <f t="shared" si="8"/>
        <v/>
      </c>
      <c r="D41" s="398" t="str">
        <f t="shared" si="8"/>
        <v/>
      </c>
      <c r="E41" s="398" t="str">
        <f t="shared" si="8"/>
        <v/>
      </c>
      <c r="F41" s="398" t="str">
        <f t="shared" si="8"/>
        <v/>
      </c>
      <c r="G41" s="398" t="str">
        <f t="shared" si="8"/>
        <v/>
      </c>
      <c r="H41" s="398" t="str">
        <f t="shared" si="8"/>
        <v/>
      </c>
      <c r="I41" s="398" t="str">
        <f t="shared" si="8"/>
        <v/>
      </c>
      <c r="J41" s="398" t="str">
        <f t="shared" si="9"/>
        <v/>
      </c>
      <c r="K41" s="398" t="str">
        <f t="shared" si="9"/>
        <v/>
      </c>
      <c r="M41" s="587"/>
      <c r="N41" s="411">
        <v>12</v>
      </c>
      <c r="O41" s="412" t="e">
        <f>#N/A</f>
        <v>#N/A</v>
      </c>
      <c r="P41" s="412" t="e">
        <f>#N/A</f>
        <v>#N/A</v>
      </c>
      <c r="R41" s="412" t="e">
        <f>#N/A</f>
        <v>#N/A</v>
      </c>
      <c r="S41" s="412" t="e">
        <f>#N/A</f>
        <v>#N/A</v>
      </c>
      <c r="T41" s="412" t="e">
        <f>#N/A</f>
        <v>#N/A</v>
      </c>
      <c r="U41" s="412" t="e">
        <f>#N/A</f>
        <v>#N/A</v>
      </c>
      <c r="V41" s="412" t="e">
        <f>#N/A</f>
        <v>#N/A</v>
      </c>
      <c r="W41" s="412" t="e">
        <f>#N/A</f>
        <v>#N/A</v>
      </c>
      <c r="X41" s="413" t="str">
        <f>IF($Y$74&lt;&gt;9,"BÂTIMENTS",#N/A)</f>
        <v>BÂTIMENTS</v>
      </c>
      <c r="Y41" s="413" t="e">
        <f>IF($Y$74=9,"BÂTIMENTS",#N/A)</f>
        <v>#N/A</v>
      </c>
    </row>
    <row r="42" spans="1:81" ht="15" thickBot="1" x14ac:dyDescent="0.4">
      <c r="A42" s="461">
        <v>24</v>
      </c>
      <c r="B42" s="406" t="str">
        <f t="shared" si="6"/>
        <v/>
      </c>
      <c r="C42" s="398" t="str">
        <f t="shared" si="8"/>
        <v/>
      </c>
      <c r="D42" s="398" t="str">
        <f t="shared" si="8"/>
        <v/>
      </c>
      <c r="E42" s="398" t="str">
        <f t="shared" si="8"/>
        <v/>
      </c>
      <c r="F42" s="398" t="str">
        <f t="shared" si="8"/>
        <v/>
      </c>
      <c r="G42" s="398" t="str">
        <f t="shared" si="8"/>
        <v/>
      </c>
      <c r="H42" s="398" t="str">
        <f t="shared" si="8"/>
        <v/>
      </c>
      <c r="I42" s="398" t="str">
        <f t="shared" si="8"/>
        <v/>
      </c>
      <c r="J42" s="398" t="str">
        <f t="shared" si="9"/>
        <v/>
      </c>
      <c r="K42" s="398" t="str">
        <f t="shared" si="9"/>
        <v/>
      </c>
      <c r="M42" s="588"/>
      <c r="N42" s="411">
        <v>13</v>
      </c>
      <c r="O42" s="412" t="e">
        <f>#N/A</f>
        <v>#N/A</v>
      </c>
      <c r="P42" s="412" t="e">
        <f>#N/A</f>
        <v>#N/A</v>
      </c>
      <c r="Q42" s="412" t="e">
        <f>#N/A</f>
        <v>#N/A</v>
      </c>
      <c r="R42" s="412" t="e">
        <f>#N/A</f>
        <v>#N/A</v>
      </c>
      <c r="S42" s="412" t="e">
        <f>#N/A</f>
        <v>#N/A</v>
      </c>
      <c r="T42" s="412" t="e">
        <f>#N/A</f>
        <v>#N/A</v>
      </c>
      <c r="U42" s="412" t="e">
        <f>#N/A</f>
        <v>#N/A</v>
      </c>
      <c r="V42" s="412" t="e">
        <f>#N/A</f>
        <v>#N/A</v>
      </c>
      <c r="W42" s="412" t="e">
        <f>#N/A</f>
        <v>#N/A</v>
      </c>
      <c r="X42" s="412" t="e">
        <f>#N/A</f>
        <v>#N/A</v>
      </c>
      <c r="Y42" s="412"/>
      <c r="AM42" s="414" t="s">
        <v>790</v>
      </c>
      <c r="AW42" s="414" t="s">
        <v>791</v>
      </c>
      <c r="BK42" s="414" t="s">
        <v>792</v>
      </c>
      <c r="BW42" s="414" t="s">
        <v>793</v>
      </c>
    </row>
    <row r="43" spans="1:81" ht="15" thickBot="1" x14ac:dyDescent="0.4">
      <c r="A43" s="461">
        <v>25</v>
      </c>
      <c r="B43" s="406" t="str">
        <f t="shared" si="6"/>
        <v/>
      </c>
      <c r="C43" s="398" t="str">
        <f t="shared" si="8"/>
        <v/>
      </c>
      <c r="D43" s="398" t="str">
        <f t="shared" si="8"/>
        <v/>
      </c>
      <c r="E43" s="398" t="str">
        <f t="shared" si="8"/>
        <v/>
      </c>
      <c r="F43" s="398" t="str">
        <f t="shared" si="8"/>
        <v/>
      </c>
      <c r="G43" s="398" t="str">
        <f t="shared" si="8"/>
        <v/>
      </c>
      <c r="H43" s="398" t="str">
        <f t="shared" si="8"/>
        <v/>
      </c>
      <c r="I43" s="398" t="str">
        <f t="shared" si="8"/>
        <v/>
      </c>
      <c r="J43" s="398" t="str">
        <f t="shared" si="9"/>
        <v/>
      </c>
      <c r="K43" s="398" t="str">
        <f t="shared" si="9"/>
        <v/>
      </c>
      <c r="O43" s="412"/>
      <c r="P43" s="412"/>
      <c r="Q43" s="412"/>
      <c r="R43" s="412"/>
      <c r="S43" s="412"/>
      <c r="T43" s="412"/>
      <c r="U43" s="412"/>
      <c r="V43" s="415"/>
      <c r="W43" s="416"/>
      <c r="X43" s="417"/>
      <c r="Y43" s="417"/>
    </row>
    <row r="44" spans="1:81" ht="14.5" customHeight="1" x14ac:dyDescent="0.35">
      <c r="A44" s="461">
        <v>26</v>
      </c>
      <c r="B44" s="406" t="str">
        <f t="shared" si="6"/>
        <v/>
      </c>
      <c r="C44" s="398" t="str">
        <f t="shared" si="8"/>
        <v/>
      </c>
      <c r="D44" s="398" t="str">
        <f t="shared" si="8"/>
        <v/>
      </c>
      <c r="E44" s="398" t="str">
        <f t="shared" si="8"/>
        <v/>
      </c>
      <c r="F44" s="398" t="str">
        <f t="shared" si="8"/>
        <v/>
      </c>
      <c r="G44" s="398" t="str">
        <f t="shared" si="8"/>
        <v/>
      </c>
      <c r="H44" s="398" t="str">
        <f t="shared" si="8"/>
        <v/>
      </c>
      <c r="I44" s="398" t="str">
        <f t="shared" si="8"/>
        <v/>
      </c>
      <c r="J44" s="398" t="str">
        <f t="shared" si="9"/>
        <v/>
      </c>
      <c r="K44" s="398" t="str">
        <f t="shared" si="9"/>
        <v/>
      </c>
      <c r="M44" s="586" t="s">
        <v>794</v>
      </c>
      <c r="N44" s="418" t="s">
        <v>789</v>
      </c>
      <c r="O44" s="419"/>
      <c r="P44" s="419"/>
      <c r="Q44" s="419"/>
      <c r="R44" s="419"/>
      <c r="S44" s="419"/>
      <c r="T44" s="419"/>
      <c r="U44" s="419"/>
      <c r="V44" s="420"/>
      <c r="W44" s="421"/>
      <c r="X44" s="421"/>
      <c r="Y44" s="421"/>
      <c r="BL44" s="422" t="s">
        <v>795</v>
      </c>
      <c r="BM44" s="422" t="s">
        <v>51</v>
      </c>
      <c r="BN44" s="422" t="s">
        <v>46</v>
      </c>
      <c r="BO44" s="422" t="s">
        <v>768</v>
      </c>
      <c r="BP44" s="422" t="s">
        <v>796</v>
      </c>
      <c r="BQ44" s="422" t="s">
        <v>124</v>
      </c>
      <c r="BR44" s="422" t="s">
        <v>52</v>
      </c>
      <c r="BS44" s="422" t="s">
        <v>797</v>
      </c>
      <c r="BT44" s="422" t="s">
        <v>798</v>
      </c>
      <c r="BX44" s="422" t="s">
        <v>799</v>
      </c>
      <c r="BY44" s="422" t="s">
        <v>800</v>
      </c>
      <c r="BZ44" s="422" t="s">
        <v>798</v>
      </c>
      <c r="CB44" s="423" t="s">
        <v>801</v>
      </c>
      <c r="CC44" s="423" t="s">
        <v>802</v>
      </c>
    </row>
    <row r="45" spans="1:81" x14ac:dyDescent="0.35">
      <c r="A45" s="461">
        <v>27</v>
      </c>
      <c r="B45" s="406" t="str">
        <f t="shared" si="6"/>
        <v/>
      </c>
      <c r="C45" s="398" t="str">
        <f t="shared" si="8"/>
        <v/>
      </c>
      <c r="D45" s="398" t="str">
        <f t="shared" si="8"/>
        <v/>
      </c>
      <c r="E45" s="398" t="str">
        <f t="shared" si="8"/>
        <v/>
      </c>
      <c r="F45" s="398" t="str">
        <f t="shared" si="8"/>
        <v/>
      </c>
      <c r="G45" s="398" t="str">
        <f t="shared" si="8"/>
        <v/>
      </c>
      <c r="H45" s="398" t="str">
        <f t="shared" si="8"/>
        <v/>
      </c>
      <c r="I45" s="398" t="str">
        <f t="shared" si="8"/>
        <v/>
      </c>
      <c r="J45" s="398" t="str">
        <f t="shared" si="9"/>
        <v/>
      </c>
      <c r="K45" s="398" t="str">
        <f t="shared" si="9"/>
        <v/>
      </c>
      <c r="M45" s="587"/>
      <c r="N45" s="424">
        <f>MAX(N76:N117)+1</f>
        <v>1</v>
      </c>
      <c r="O45" s="412" t="e">
        <f>#N/A</f>
        <v>#N/A</v>
      </c>
      <c r="P45" s="412" t="e">
        <f>#N/A</f>
        <v>#N/A</v>
      </c>
      <c r="Q45" s="412" t="e">
        <f>#N/A</f>
        <v>#N/A</v>
      </c>
      <c r="R45" s="412" t="e">
        <f>#N/A</f>
        <v>#N/A</v>
      </c>
      <c r="S45" s="412" t="e">
        <f>#N/A</f>
        <v>#N/A</v>
      </c>
      <c r="T45" s="412" t="e">
        <f>#N/A</f>
        <v>#N/A</v>
      </c>
      <c r="U45" s="412" t="e">
        <f>#N/A</f>
        <v>#N/A</v>
      </c>
      <c r="V45" s="412" t="e">
        <f>#N/A</f>
        <v>#N/A</v>
      </c>
      <c r="W45" s="412" t="e">
        <f>#N/A</f>
        <v>#N/A</v>
      </c>
      <c r="X45" s="412" t="e">
        <f>#N/A</f>
        <v>#N/A</v>
      </c>
      <c r="Y45" s="412" t="e">
        <f>#N/A</f>
        <v>#N/A</v>
      </c>
      <c r="AM45" s="425">
        <f t="shared" ref="AM45:AM85" si="10">ROW(P77)</f>
        <v>77</v>
      </c>
      <c r="AN45" s="422" t="s">
        <v>803</v>
      </c>
      <c r="AO45" s="422" t="s">
        <v>122</v>
      </c>
      <c r="AP45" s="422" t="s">
        <v>804</v>
      </c>
      <c r="AQ45" s="422" t="s">
        <v>805</v>
      </c>
      <c r="AR45" s="422" t="s">
        <v>806</v>
      </c>
      <c r="AX45" s="422" t="s">
        <v>51</v>
      </c>
      <c r="AY45" s="422" t="s">
        <v>46</v>
      </c>
      <c r="AZ45" s="422" t="s">
        <v>768</v>
      </c>
      <c r="BA45" s="422" t="s">
        <v>796</v>
      </c>
      <c r="BB45" s="422" t="s">
        <v>124</v>
      </c>
      <c r="BC45" s="422" t="s">
        <v>52</v>
      </c>
      <c r="BK45" s="425" t="str">
        <f>IF(Exploitation!B15="","",Exploitation!B15)</f>
        <v/>
      </c>
      <c r="BL45" s="426" t="str">
        <f>IF('Synthèse des émissions'!M60="Oui",'Synthèse des émissions'!F114,IF('Synthèse des émissions'!N60="Oui",'Synthèse des émissions'!J114,""))</f>
        <v/>
      </c>
      <c r="BM45" s="427" t="str">
        <f>IF('Synthèse des émissions'!$M60="Oui","",'Synthèse des émissions'!E114)</f>
        <v/>
      </c>
      <c r="BN45" s="427" t="str">
        <f>IF('Synthèse des émissions'!$M60="Oui","",'Synthèse des émissions'!C114)</f>
        <v/>
      </c>
      <c r="BO45" s="427" t="str">
        <f>IF('Synthèse des émissions'!$M60="Oui","",'Synthèse des émissions'!D114)</f>
        <v/>
      </c>
      <c r="BP45" s="427" t="str">
        <f>IF('Synthèse des émissions'!$N60="Oui","",'Synthèse des émissions'!H114)</f>
        <v/>
      </c>
      <c r="BQ45" s="427" t="str">
        <f>IF('Synthèse des émissions'!$N60="Oui","",'Synthèse des émissions'!G114)</f>
        <v/>
      </c>
      <c r="BR45" s="427" t="str">
        <f>IF('Synthèse des émissions'!$N60="Oui","",'Synthèse des émissions'!I114)</f>
        <v/>
      </c>
      <c r="BS45" s="425" t="str">
        <f>CONCATENATE(IF('Synthèse des émissions'!M60="Oui",CONCATENATE(IF(Déclaration!AX46&lt;&gt;0,CONCATENATE(Déclaration!AX46,Déclaration!$CC$45),""),IF(Déclaration!AY46&lt;&gt;0,CONCATENATE(Déclaration!AY46,Déclaration!$CC$46),""),IF(Déclaration!AZ46&lt;&gt;0,CONCATENATE(Déclaration!AZ46,Déclaration!$CC$47),"")),IF('Synthèse des émissions'!N60="Oui",CONCATENATE(IF(Déclaration!BA46&lt;&gt;0,CONCATENATE(Déclaration!BA46,Déclaration!$CC$51),""),IF(Déclaration!BB46&lt;&gt;0,CONCATENATE(Déclaration!BB46,Déclaration!$CC$52),""),IF(Déclaration!BC46&lt;&gt;0,CONCATENATE(Déclaration!BC46,Déclaration!$CC$53),"")),"")))</f>
        <v/>
      </c>
      <c r="BT45" s="428" t="str">
        <f>IF(BK45="","",IF(OR(BL45&lt;&gt;"",BM45&lt;&gt;"",BN45&lt;&gt;"",BO45&lt;&gt;"",BP45&lt;&gt;"",BQ45&lt;&gt;"",BR45&lt;&gt;""),CONCATENATE("VLE ",'Synthèse des émissions'!C60," (",IF(BM45="","",CONCATENATE($CC$48,'Synthèse des émissions'!G60,".")),IF(BN45="","",CONCATENATE(IF('Synthèse des émissions'!D60="",CONCATENATE($CC$49,": ",'Synthèse des émissions'!E60,"."),CONCATENATE($CC$49," sortant à ",'Synthèse des émissions'!D60," kg: ",ROUND('Synthèse des émissions'!E60,3),".")))),IF(BO45="","",CONCATENATE(CC$50,'Synthèse des émissions'!F60,".")),IF(BP45="","",CONCATENATE($CC$54,'Synthèse des émissions'!J60,".")),IF(BQ45="","",CONCATENATE($CC$55,'Synthèse des émissions'!I60,".")),IF(BR45="","",CONCATENATE($CC$56,'Synthèse des émissions'!K60,".")),CONCATENATE(IF(AND(BL45&lt;&gt;"",'Synthèse des émissions'!M60="Oui"),CONCATENATE(Déclaration!$CC$57,": ",ROUND('Synthèse des émissions'!H60,3)),IF(AND(BL45&lt;&gt;"",'Synthèse des émissions'!N60="Oui"),CONCATENATE(Déclaration!$CC$58,": ",ROUND('Synthèse des émissions'!L60,3)),"")),")"))))</f>
        <v/>
      </c>
      <c r="BW45" s="396" t="str">
        <f>CONCATENATE(BK45," bis")</f>
        <v xml:space="preserve"> bis</v>
      </c>
      <c r="BX45" s="425" t="str">
        <f>IF(AND('Synthèse des émissions'!M60="Oui",'Synthèse des émissions'!N60="Oui"),'Synthèse des émissions'!L60,"")</f>
        <v/>
      </c>
      <c r="BY45" s="425" t="str">
        <f>IF(AND('Synthèse des émissions'!M60="Oui",'Synthèse des émissions'!N60="Oui"),CONCATENATE(IF(BA46&lt;&gt;0,CONCATENATE(BA46,$CC$51),""),IF(BB46&lt;&gt;0,CONCATENATE(BB46,$CC$52),""),IF(BC46&lt;&gt;0,CONCATENATE(BC46,$CC$53),"")),"")</f>
        <v/>
      </c>
      <c r="BZ45" s="425" t="str">
        <f>IF(AND(BM45="",BN45="",BO45="",BP45="",BQ45="",BR45="",BL45="",BY45=""),"",IF(BY45="","",CONCATENATE("VLE ",'Synthèse des émissions'!C60," (",$CC$58,": ",ROUND('Synthèse des émissions'!L60,3),")")))</f>
        <v/>
      </c>
      <c r="CB45" s="425" t="s">
        <v>795</v>
      </c>
      <c r="CC45" s="425" t="s">
        <v>828</v>
      </c>
    </row>
    <row r="46" spans="1:81" x14ac:dyDescent="0.35">
      <c r="A46" s="461">
        <v>28</v>
      </c>
      <c r="B46" s="406" t="str">
        <f t="shared" si="6"/>
        <v/>
      </c>
      <c r="C46" s="398" t="str">
        <f t="shared" si="8"/>
        <v/>
      </c>
      <c r="D46" s="398" t="str">
        <f t="shared" si="8"/>
        <v/>
      </c>
      <c r="E46" s="398" t="str">
        <f t="shared" si="8"/>
        <v/>
      </c>
      <c r="F46" s="398" t="str">
        <f t="shared" si="8"/>
        <v/>
      </c>
      <c r="G46" s="398" t="str">
        <f t="shared" si="8"/>
        <v/>
      </c>
      <c r="H46" s="398" t="str">
        <f t="shared" si="8"/>
        <v/>
      </c>
      <c r="I46" s="398" t="str">
        <f t="shared" si="8"/>
        <v/>
      </c>
      <c r="J46" s="398" t="str">
        <f t="shared" si="9"/>
        <v/>
      </c>
      <c r="K46" s="398" t="str">
        <f t="shared" si="9"/>
        <v/>
      </c>
      <c r="M46" s="587"/>
      <c r="N46" s="424">
        <f>N45+1</f>
        <v>2</v>
      </c>
      <c r="O46" s="412" t="e">
        <f>#N/A</f>
        <v>#N/A</v>
      </c>
      <c r="P46" s="412" t="e">
        <f>#N/A</f>
        <v>#N/A</v>
      </c>
      <c r="Q46" s="412" t="e">
        <f>#N/A</f>
        <v>#N/A</v>
      </c>
      <c r="R46" s="412" t="e">
        <f>#N/A</f>
        <v>#N/A</v>
      </c>
      <c r="S46" s="412" t="e">
        <f>#N/A</f>
        <v>#N/A</v>
      </c>
      <c r="T46" s="412" t="e">
        <f>#N/A</f>
        <v>#N/A</v>
      </c>
      <c r="U46" s="412" t="e">
        <f>#N/A</f>
        <v>#N/A</v>
      </c>
      <c r="V46" s="412" t="e">
        <f>#N/A</f>
        <v>#N/A</v>
      </c>
      <c r="W46" s="412" t="e">
        <f>#N/A</f>
        <v>#N/A</v>
      </c>
      <c r="X46" s="413" t="str">
        <f>IF($Y$74&lt;&gt;9,"TOUT SUPPRIMER",#N/A)</f>
        <v>TOUT SUPPRIMER</v>
      </c>
      <c r="Y46" s="413" t="e">
        <f>IF($Y$74=9,"TOUT SUPPRIMER",#N/A)</f>
        <v>#N/A</v>
      </c>
      <c r="AM46" s="425">
        <f t="shared" si="10"/>
        <v>78</v>
      </c>
      <c r="AN46" s="425">
        <v>1</v>
      </c>
      <c r="AO46" s="425" t="str">
        <f>BK45</f>
        <v/>
      </c>
      <c r="AP46" s="425">
        <f>IF(BX45="",0,1)</f>
        <v>0</v>
      </c>
      <c r="AQ46" s="425">
        <f t="shared" ref="AQ46:AQ57" si="11">IF(AP46=0,0,AN46+1)</f>
        <v>0</v>
      </c>
      <c r="AR46" s="425" t="str">
        <f t="shared" ref="AR46:AR57" si="12">IF(AP46=0,"",BW45)</f>
        <v/>
      </c>
      <c r="AW46" s="425" t="str">
        <f t="shared" ref="AW46:AW57" si="13">BK45</f>
        <v/>
      </c>
      <c r="AX46" s="426">
        <f>Exploitation!E15</f>
        <v>0</v>
      </c>
      <c r="AY46" s="427">
        <f>Exploitation!C15</f>
        <v>0</v>
      </c>
      <c r="AZ46" s="427">
        <f>Exploitation!D15</f>
        <v>0</v>
      </c>
      <c r="BA46" s="427">
        <f>Exploitation!G15+Exploitation!H15</f>
        <v>0</v>
      </c>
      <c r="BB46" s="427">
        <f>Exploitation!F15</f>
        <v>0</v>
      </c>
      <c r="BC46" s="427">
        <f>Exploitation!I15</f>
        <v>0</v>
      </c>
      <c r="BK46" s="425" t="str">
        <f>IF(Exploitation!B16="","",Exploitation!B16)</f>
        <v/>
      </c>
      <c r="BL46" s="426" t="str">
        <f>IF('Synthèse des émissions'!M61="Oui",'Synthèse des émissions'!F115,IF('Synthèse des émissions'!N61="Oui",'Synthèse des émissions'!J115,""))</f>
        <v/>
      </c>
      <c r="BM46" s="427" t="str">
        <f>IF('Synthèse des émissions'!$M61="Oui","",'Synthèse des émissions'!E115)</f>
        <v/>
      </c>
      <c r="BN46" s="427" t="str">
        <f>IF('Synthèse des émissions'!$M61="Oui","",'Synthèse des émissions'!C115)</f>
        <v/>
      </c>
      <c r="BO46" s="427" t="str">
        <f>IF('Synthèse des émissions'!$M61="Oui","",'Synthèse des émissions'!D115)</f>
        <v/>
      </c>
      <c r="BP46" s="427" t="str">
        <f>IF('Synthèse des émissions'!$N61="Oui","",'Synthèse des émissions'!H115)</f>
        <v/>
      </c>
      <c r="BQ46" s="427" t="str">
        <f>IF('Synthèse des émissions'!$N61="Oui","",'Synthèse des émissions'!G115)</f>
        <v/>
      </c>
      <c r="BR46" s="427" t="str">
        <f>IF('Synthèse des émissions'!$N61="Oui","",'Synthèse des émissions'!I115)</f>
        <v/>
      </c>
      <c r="BS46" s="425" t="str">
        <f>CONCATENATE(IF('Synthèse des émissions'!M61="Oui",CONCATENATE(IF(Déclaration!AX47&lt;&gt;0,CONCATENATE(Déclaration!AX47,Déclaration!$CC$45),""),IF(Déclaration!AY47&lt;&gt;0,CONCATENATE(Déclaration!AY47,Déclaration!$CC$46),""),IF(Déclaration!AZ47&lt;&gt;0,CONCATENATE(Déclaration!AZ47,Déclaration!$CC$47),"")),IF('Synthèse des émissions'!N61="Oui",CONCATENATE(IF(Déclaration!BA47&lt;&gt;0,CONCATENATE(Déclaration!BA47,Déclaration!$CC$51),""),IF(Déclaration!BB47&lt;&gt;0,CONCATENATE(Déclaration!BB47,Déclaration!$CC$52),""),IF(Déclaration!BC47&lt;&gt;0,CONCATENATE(Déclaration!BC47,Déclaration!$CC$53),"")),"")))</f>
        <v/>
      </c>
      <c r="BT46" s="428" t="str">
        <f>IF(BK46="","",IF(OR(BL46&lt;&gt;"",BM46&lt;&gt;"",BN46&lt;&gt;"",BO46&lt;&gt;"",BP46&lt;&gt;"",BQ46&lt;&gt;"",BR46&lt;&gt;""),CONCATENATE("VLE ",'Synthèse des émissions'!C61," (",IF(BM46="","",CONCATENATE($CC$48,'Synthèse des émissions'!G61,".")),IF(BN46="","",CONCATENATE(IF('Synthèse des émissions'!D61="",CONCATENATE($CC$49,": ",'Synthèse des émissions'!E61,"."),CONCATENATE($CC$49," sortant à ",'Synthèse des émissions'!D61," kg: ",ROUND('Synthèse des émissions'!E61,3),".")))),IF(BO46="","",CONCATENATE(CC$50,'Synthèse des émissions'!F61,".")),IF(BP46="","",CONCATENATE($CC$54,'Synthèse des émissions'!J61,".")),IF(BQ46="","",CONCATENATE($CC$55,'Synthèse des émissions'!I61,".")),IF(BR46="","",CONCATENATE($CC$56,'Synthèse des émissions'!K61,".")),CONCATENATE(IF(AND(BL46&lt;&gt;"",'Synthèse des émissions'!M61="Oui"),CONCATENATE(Déclaration!$CC$57,": ",ROUND('Synthèse des émissions'!H61,3)),IF(AND(BL46&lt;&gt;"",'Synthèse des émissions'!N61="Oui"),CONCATENATE(Déclaration!$CC$58,": ",ROUND('Synthèse des émissions'!L61,3)),"")),")"))))</f>
        <v/>
      </c>
      <c r="BW46" s="396" t="str">
        <f t="shared" ref="BW46:BW64" si="14">CONCATENATE(BK46," bis")</f>
        <v xml:space="preserve"> bis</v>
      </c>
      <c r="BX46" s="425" t="str">
        <f>IF(AND('Synthèse des émissions'!M61="Oui",'Synthèse des émissions'!N61="Oui"),'Synthèse des émissions'!L61,"")</f>
        <v/>
      </c>
      <c r="BY46" s="425" t="str">
        <f>IF(AND('Synthèse des émissions'!M61="Oui",'Synthèse des émissions'!N61="Oui"),CONCATENATE(IF(BA47&lt;&gt;0,CONCATENATE(BA47,$CC$51),""),IF(BB47&lt;&gt;0,CONCATENATE(BB47,$CC$52),""),IF(BC47&lt;&gt;0,CONCATENATE(BC47,$CC$53),"")),"")</f>
        <v/>
      </c>
      <c r="BZ46" s="425" t="str">
        <f>IF(AND(BM46="",BN46="",BO46="",BP46="",BQ46="",BR46="",BL46="",BY46=""),"",IF(BY46="","",CONCATENATE("VLE ",'Synthèse des émissions'!C61," (",$CC$58,": ",ROUND('Synthèse des émissions'!L61,3),")")))</f>
        <v/>
      </c>
      <c r="CB46" s="425" t="s">
        <v>795</v>
      </c>
      <c r="CC46" s="429" t="s">
        <v>829</v>
      </c>
    </row>
    <row r="47" spans="1:81" x14ac:dyDescent="0.35">
      <c r="A47" s="461">
        <v>29</v>
      </c>
      <c r="B47" s="406" t="str">
        <f t="shared" si="6"/>
        <v/>
      </c>
      <c r="C47" s="398" t="str">
        <f t="shared" si="8"/>
        <v/>
      </c>
      <c r="D47" s="398" t="str">
        <f t="shared" si="8"/>
        <v/>
      </c>
      <c r="E47" s="398" t="str">
        <f t="shared" si="8"/>
        <v/>
      </c>
      <c r="F47" s="398" t="str">
        <f t="shared" si="8"/>
        <v/>
      </c>
      <c r="G47" s="398" t="str">
        <f t="shared" si="8"/>
        <v/>
      </c>
      <c r="H47" s="398" t="str">
        <f t="shared" si="8"/>
        <v/>
      </c>
      <c r="I47" s="398" t="str">
        <f t="shared" si="8"/>
        <v/>
      </c>
      <c r="J47" s="398" t="str">
        <f t="shared" si="9"/>
        <v/>
      </c>
      <c r="K47" s="398" t="str">
        <f t="shared" si="9"/>
        <v/>
      </c>
      <c r="M47" s="587"/>
      <c r="N47" s="424">
        <f t="shared" ref="N47:N67" si="15">N46+1</f>
        <v>3</v>
      </c>
      <c r="O47" s="412" t="e">
        <f>#N/A</f>
        <v>#N/A</v>
      </c>
      <c r="P47" s="412" t="e">
        <f>#N/A</f>
        <v>#N/A</v>
      </c>
      <c r="Q47" s="412" t="e">
        <f>#N/A</f>
        <v>#N/A</v>
      </c>
      <c r="R47" s="412" t="e">
        <f>#N/A</f>
        <v>#N/A</v>
      </c>
      <c r="S47" s="412" t="e">
        <f>#N/A</f>
        <v>#N/A</v>
      </c>
      <c r="T47" s="412" t="e">
        <f>#N/A</f>
        <v>#N/A</v>
      </c>
      <c r="U47" s="412" t="e">
        <f>#N/A</f>
        <v>#N/A</v>
      </c>
      <c r="V47" s="412" t="e">
        <f>#N/A</f>
        <v>#N/A</v>
      </c>
      <c r="W47" s="412" t="e">
        <f>#N/A</f>
        <v>#N/A</v>
      </c>
      <c r="X47" s="412" t="e">
        <f>#N/A</f>
        <v>#N/A</v>
      </c>
      <c r="Y47" s="412" t="e">
        <f>#N/A</f>
        <v>#N/A</v>
      </c>
      <c r="AM47" s="425">
        <f t="shared" si="10"/>
        <v>79</v>
      </c>
      <c r="AN47" s="425">
        <f t="shared" ref="AN47:AN57" si="16">AN46+AP46+1</f>
        <v>2</v>
      </c>
      <c r="AO47" s="425" t="str">
        <f t="shared" ref="AO47:AO64" si="17">BK46</f>
        <v/>
      </c>
      <c r="AP47" s="425">
        <f t="shared" ref="AP47:AP57" si="18">IF(BX46="",0,1)</f>
        <v>0</v>
      </c>
      <c r="AQ47" s="425">
        <f t="shared" si="11"/>
        <v>0</v>
      </c>
      <c r="AR47" s="425" t="str">
        <f t="shared" si="12"/>
        <v/>
      </c>
      <c r="AW47" s="425" t="str">
        <f t="shared" si="13"/>
        <v/>
      </c>
      <c r="AX47" s="426">
        <f>Exploitation!E16</f>
        <v>0</v>
      </c>
      <c r="AY47" s="427">
        <f>Exploitation!C16</f>
        <v>0</v>
      </c>
      <c r="AZ47" s="427">
        <f>Exploitation!D16</f>
        <v>0</v>
      </c>
      <c r="BA47" s="427">
        <f>Exploitation!G16+Exploitation!H16</f>
        <v>0</v>
      </c>
      <c r="BB47" s="427">
        <f>Exploitation!F16</f>
        <v>0</v>
      </c>
      <c r="BC47" s="427">
        <f>Exploitation!I16</f>
        <v>0</v>
      </c>
      <c r="BK47" s="425" t="str">
        <f>IF(Exploitation!B17="","",Exploitation!B17)</f>
        <v/>
      </c>
      <c r="BL47" s="426" t="str">
        <f>IF('Synthèse des émissions'!M62="Oui",'Synthèse des émissions'!F116,IF('Synthèse des émissions'!N62="Oui",'Synthèse des émissions'!J116,""))</f>
        <v/>
      </c>
      <c r="BM47" s="427" t="str">
        <f>IF('Synthèse des émissions'!$M62="Oui","",'Synthèse des émissions'!E116)</f>
        <v/>
      </c>
      <c r="BN47" s="427" t="str">
        <f>IF('Synthèse des émissions'!$M62="Oui","",'Synthèse des émissions'!C116)</f>
        <v/>
      </c>
      <c r="BO47" s="427" t="str">
        <f>IF('Synthèse des émissions'!$M62="Oui","",'Synthèse des émissions'!D116)</f>
        <v/>
      </c>
      <c r="BP47" s="427" t="str">
        <f>IF('Synthèse des émissions'!$N62="Oui","",'Synthèse des émissions'!H116)</f>
        <v/>
      </c>
      <c r="BQ47" s="427" t="str">
        <f>IF('Synthèse des émissions'!$N62="Oui","",'Synthèse des émissions'!G116)</f>
        <v/>
      </c>
      <c r="BR47" s="427" t="str">
        <f>IF('Synthèse des émissions'!$N62="Oui","",'Synthèse des émissions'!I116)</f>
        <v/>
      </c>
      <c r="BS47" s="425" t="str">
        <f>CONCATENATE(IF('Synthèse des émissions'!M62="Oui",CONCATENATE(IF(Déclaration!AX48&lt;&gt;0,CONCATENATE(Déclaration!AX48,Déclaration!$CC$45),""),IF(Déclaration!AY48&lt;&gt;0,CONCATENATE(Déclaration!AY48,Déclaration!$CC$46),""),IF(Déclaration!AZ48&lt;&gt;0,CONCATENATE(Déclaration!AZ48,Déclaration!$CC$47),"")),IF('Synthèse des émissions'!N62="Oui",CONCATENATE(IF(Déclaration!BA48&lt;&gt;0,CONCATENATE(Déclaration!BA48,Déclaration!$CC$51),""),IF(Déclaration!BB48&lt;&gt;0,CONCATENATE(Déclaration!BB48,Déclaration!$CC$52),""),IF(Déclaration!BC48&lt;&gt;0,CONCATENATE(Déclaration!BC48,Déclaration!$CC$53),"")),"")))</f>
        <v/>
      </c>
      <c r="BT47" s="428" t="str">
        <f>IF(BK47="","",IF(OR(BL47&lt;&gt;"",BM47&lt;&gt;"",BN47&lt;&gt;"",BO47&lt;&gt;"",BP47&lt;&gt;"",BQ47&lt;&gt;"",BR47&lt;&gt;""),CONCATENATE("VLE ",'Synthèse des émissions'!C62," (",IF(BM47="","",CONCATENATE($CC$48,'Synthèse des émissions'!G62,".")),IF(BN47="","",CONCATENATE(IF('Synthèse des émissions'!D62="",CONCATENATE($CC$49,": ",'Synthèse des émissions'!E62,"."),CONCATENATE($CC$49," sortant à ",'Synthèse des émissions'!D62," kg: ",ROUND('Synthèse des émissions'!E62,3),".")))),IF(BO47="","",CONCATENATE(CC$50,'Synthèse des émissions'!F62,".")),IF(BP47="","",CONCATENATE($CC$54,'Synthèse des émissions'!J62,".")),IF(BQ47="","",CONCATENATE($CC$55,'Synthèse des émissions'!I62,".")),IF(BR47="","",CONCATENATE($CC$56,'Synthèse des émissions'!K62,".")),CONCATENATE(IF(AND(BL47&lt;&gt;"",'Synthèse des émissions'!M62="Oui"),CONCATENATE(Déclaration!$CC$57,": ",ROUND('Synthèse des émissions'!H62,3)),IF(AND(BL47&lt;&gt;"",'Synthèse des émissions'!N62="Oui"),CONCATENATE(Déclaration!$CC$58,": ",ROUND('Synthèse des émissions'!L62,3)),"")),")"))))</f>
        <v/>
      </c>
      <c r="BW47" s="396" t="str">
        <f t="shared" si="14"/>
        <v xml:space="preserve"> bis</v>
      </c>
      <c r="BX47" s="425" t="str">
        <f>IF(AND('Synthèse des émissions'!M62="Oui",'Synthèse des émissions'!N62="Oui"),'Synthèse des émissions'!L62,"")</f>
        <v/>
      </c>
      <c r="BY47" s="425" t="str">
        <f>IF(AND('Synthèse des émissions'!M62="Oui",'Synthèse des émissions'!N62="Oui"),CONCATENATE(IF(BA48&lt;&gt;0,CONCATENATE(BA48,$CC$51),""),IF(BB48&lt;&gt;0,CONCATENATE(BB48,$CC$52),""),IF(BC48&lt;&gt;0,CONCATENATE(BC48,$CC$53),"")),"")</f>
        <v/>
      </c>
      <c r="BZ47" s="425" t="str">
        <f>IF(AND(BM47="",BN47="",BO47="",BP47="",BQ47="",BR47="",BL47="",BY47=""),"",IF(BY47="","",CONCATENATE("VLE ",'Synthèse des émissions'!C62," (",$CC$58,": ",ROUND('Synthèse des émissions'!L62,3),")")))</f>
        <v/>
      </c>
      <c r="CB47" s="425" t="s">
        <v>795</v>
      </c>
      <c r="CC47" s="429" t="s">
        <v>830</v>
      </c>
    </row>
    <row r="48" spans="1:81" x14ac:dyDescent="0.35">
      <c r="A48" s="461">
        <v>30</v>
      </c>
      <c r="B48" s="406" t="str">
        <f t="shared" si="6"/>
        <v/>
      </c>
      <c r="C48" s="398" t="str">
        <f t="shared" si="8"/>
        <v/>
      </c>
      <c r="D48" s="398" t="str">
        <f t="shared" si="8"/>
        <v/>
      </c>
      <c r="E48" s="398" t="str">
        <f t="shared" si="8"/>
        <v/>
      </c>
      <c r="F48" s="398" t="str">
        <f t="shared" si="8"/>
        <v/>
      </c>
      <c r="G48" s="398" t="str">
        <f t="shared" si="8"/>
        <v/>
      </c>
      <c r="H48" s="398" t="str">
        <f t="shared" si="8"/>
        <v/>
      </c>
      <c r="I48" s="398" t="str">
        <f t="shared" si="8"/>
        <v/>
      </c>
      <c r="J48" s="398" t="str">
        <f t="shared" si="9"/>
        <v/>
      </c>
      <c r="K48" s="398" t="str">
        <f t="shared" si="9"/>
        <v/>
      </c>
      <c r="M48" s="587"/>
      <c r="N48" s="424">
        <f t="shared" si="15"/>
        <v>4</v>
      </c>
      <c r="O48" s="412" t="e">
        <f>#N/A</f>
        <v>#N/A</v>
      </c>
      <c r="P48" s="412" t="e">
        <f>#N/A</f>
        <v>#N/A</v>
      </c>
      <c r="Q48" s="412" t="e">
        <f>#N/A</f>
        <v>#N/A</v>
      </c>
      <c r="R48" s="412" t="e">
        <f>#N/A</f>
        <v>#N/A</v>
      </c>
      <c r="S48" s="412" t="e">
        <f>#N/A</f>
        <v>#N/A</v>
      </c>
      <c r="T48" s="412" t="e">
        <f>#N/A</f>
        <v>#N/A</v>
      </c>
      <c r="U48" s="412" t="e">
        <f>#N/A</f>
        <v>#N/A</v>
      </c>
      <c r="V48" s="413" t="str">
        <f>IF($Y$74&lt;&gt;9,"ANNULER",IF(U48="ANNULER","ENREGISTRER",IF(U48="ENREGISTRER","VALIDER",#N/A)))</f>
        <v>ANNULER</v>
      </c>
      <c r="W48" s="413" t="str">
        <f>IF($Y$74=9,"ANNULER",IF(V48="ANNULER","ENREGISTRER",IF(V48="ENREGISTRER","VALIDER",#N/A)))</f>
        <v>ENREGISTRER</v>
      </c>
      <c r="X48" s="413" t="str">
        <f>IF(W48="ANNULER","ENREGISTRER",IF(W48="ENREGISTRER","VALIDER",#N/A))</f>
        <v>VALIDER</v>
      </c>
      <c r="Y48" s="413" t="e">
        <f>IF(X48="ANNULER","ENREGISTRER",IF(X48="ENREGISTRER","VALIDER",#N/A))</f>
        <v>#N/A</v>
      </c>
      <c r="AM48" s="425">
        <f t="shared" si="10"/>
        <v>80</v>
      </c>
      <c r="AN48" s="425">
        <f>AN47+AP47+1</f>
        <v>3</v>
      </c>
      <c r="AO48" s="425" t="str">
        <f t="shared" si="17"/>
        <v/>
      </c>
      <c r="AP48" s="425">
        <f>IF(BX47="",0,1)</f>
        <v>0</v>
      </c>
      <c r="AQ48" s="425">
        <f t="shared" si="11"/>
        <v>0</v>
      </c>
      <c r="AR48" s="425" t="str">
        <f t="shared" si="12"/>
        <v/>
      </c>
      <c r="AW48" s="425" t="str">
        <f t="shared" si="13"/>
        <v/>
      </c>
      <c r="AX48" s="426">
        <f>Exploitation!E17</f>
        <v>0</v>
      </c>
      <c r="AY48" s="427">
        <f>Exploitation!C17</f>
        <v>0</v>
      </c>
      <c r="AZ48" s="427">
        <f>Exploitation!D17</f>
        <v>0</v>
      </c>
      <c r="BA48" s="427">
        <f>Exploitation!G17+Exploitation!H17</f>
        <v>0</v>
      </c>
      <c r="BB48" s="427">
        <f>Exploitation!F17</f>
        <v>0</v>
      </c>
      <c r="BC48" s="427">
        <f>Exploitation!I17</f>
        <v>0</v>
      </c>
      <c r="BK48" s="425" t="str">
        <f>IF(Exploitation!B18="","",Exploitation!B18)</f>
        <v/>
      </c>
      <c r="BL48" s="426" t="str">
        <f>IF('Synthèse des émissions'!M63="Oui",'Synthèse des émissions'!F117,IF('Synthèse des émissions'!N63="Oui",'Synthèse des émissions'!J117,""))</f>
        <v/>
      </c>
      <c r="BM48" s="427" t="str">
        <f>IF('Synthèse des émissions'!$M63="Oui","",'Synthèse des émissions'!E117)</f>
        <v/>
      </c>
      <c r="BN48" s="427" t="str">
        <f>IF('Synthèse des émissions'!$M63="Oui","",'Synthèse des émissions'!C117)</f>
        <v/>
      </c>
      <c r="BO48" s="427" t="str">
        <f>IF('Synthèse des émissions'!$M63="Oui","",'Synthèse des émissions'!D117)</f>
        <v/>
      </c>
      <c r="BP48" s="427" t="str">
        <f>IF('Synthèse des émissions'!$N63="Oui","",'Synthèse des émissions'!H117)</f>
        <v/>
      </c>
      <c r="BQ48" s="427" t="str">
        <f>IF('Synthèse des émissions'!$N63="Oui","",'Synthèse des émissions'!G117)</f>
        <v/>
      </c>
      <c r="BR48" s="427" t="str">
        <f>IF('Synthèse des émissions'!$N63="Oui","",'Synthèse des émissions'!I117)</f>
        <v/>
      </c>
      <c r="BS48" s="425" t="str">
        <f>CONCATENATE(IF('Synthèse des émissions'!M63="Oui",CONCATENATE(IF(Déclaration!AX49&lt;&gt;0,CONCATENATE(Déclaration!AX49,Déclaration!$CC$45),""),IF(Déclaration!AY49&lt;&gt;0,CONCATENATE(Déclaration!AY49,Déclaration!$CC$46),""),IF(Déclaration!AZ49&lt;&gt;0,CONCATENATE(Déclaration!AZ49,Déclaration!$CC$47),"")),IF('Synthèse des émissions'!N63="Oui",CONCATENATE(IF(Déclaration!BA49&lt;&gt;0,CONCATENATE(Déclaration!BA49,Déclaration!$CC$51),""),IF(Déclaration!BB49&lt;&gt;0,CONCATENATE(Déclaration!BB49,Déclaration!$CC$52),""),IF(Déclaration!BC49&lt;&gt;0,CONCATENATE(Déclaration!BC49,Déclaration!$CC$53),"")),"")))</f>
        <v/>
      </c>
      <c r="BT48" s="428" t="str">
        <f>IF(BK48="","",IF(OR(BL48&lt;&gt;"",BM48&lt;&gt;"",BN48&lt;&gt;"",BO48&lt;&gt;"",BP48&lt;&gt;"",BQ48&lt;&gt;"",BR48&lt;&gt;""),CONCATENATE("VLE ",'Synthèse des émissions'!C63," (",IF(BM48="","",CONCATENATE($CC$48,'Synthèse des émissions'!G63,".")),IF(BN48="","",CONCATENATE(IF('Synthèse des émissions'!D63="",CONCATENATE($CC$49,": ",'Synthèse des émissions'!E63,"."),CONCATENATE($CC$49," sortant à ",'Synthèse des émissions'!D63," kg: ",ROUND('Synthèse des émissions'!E63,3),".")))),IF(BO48="","",CONCATENATE(CC$50,'Synthèse des émissions'!F63,".")),IF(BP48="","",CONCATENATE($CC$54,'Synthèse des émissions'!J63,".")),IF(BQ48="","",CONCATENATE($CC$55,'Synthèse des émissions'!I63,".")),IF(BR48="","",CONCATENATE($CC$56,'Synthèse des émissions'!K63,".")),CONCATENATE(IF(AND(BL48&lt;&gt;"",'Synthèse des émissions'!M63="Oui"),CONCATENATE(Déclaration!$CC$57,": ",ROUND('Synthèse des émissions'!H63,3)),IF(AND(BL48&lt;&gt;"",'Synthèse des émissions'!N63="Oui"),CONCATENATE(Déclaration!$CC$58,": ",ROUND('Synthèse des émissions'!L63,3)),"")),")"))))</f>
        <v/>
      </c>
      <c r="BW48" s="396" t="str">
        <f t="shared" si="14"/>
        <v xml:space="preserve"> bis</v>
      </c>
      <c r="BX48" s="425" t="str">
        <f>IF(AND('Synthèse des émissions'!M63="Oui",'Synthèse des émissions'!N63="Oui"),'Synthèse des émissions'!L63,"")</f>
        <v/>
      </c>
      <c r="BY48" s="425" t="str">
        <f>IF(AND('Synthèse des émissions'!M63="Oui",'Synthèse des émissions'!N63="Oui"),CONCATENATE(IF(BA49&lt;&gt;0,CONCATENATE(BA49,$CC$51),""),IF(BB49&lt;&gt;0,CONCATENATE(BB49,$CC$52),""),IF(BC49&lt;&gt;0,CONCATENATE(BC49,$CC$53),"")),"")</f>
        <v/>
      </c>
      <c r="BZ48" s="425" t="str">
        <f>IF(AND(BM48="",BN48="",BO48="",BP48="",BQ48="",BR48="",BL48="",BY48=""),"",IF(BY48="","",CONCATENATE("VLE ",'Synthèse des émissions'!C63," (",$CC$58,": ",ROUND('Synthèse des émissions'!L63,3),")")))</f>
        <v/>
      </c>
      <c r="CB48" s="425"/>
      <c r="CC48" s="425" t="s">
        <v>808</v>
      </c>
    </row>
    <row r="49" spans="1:81" x14ac:dyDescent="0.35">
      <c r="A49" s="461">
        <v>31</v>
      </c>
      <c r="B49" s="406" t="str">
        <f t="shared" si="6"/>
        <v/>
      </c>
      <c r="C49" s="398" t="str">
        <f t="shared" ref="C49:I58" si="19">IF(ISERROR(IF($A49&lt;$N$45,VLOOKUP($A49,$N$77:$Y$117,HLOOKUP(C$17,$O$72:$Y$73,2,FALSE),FALSE),VLOOKUP($A49,$N$45:$Y$57,C$16+3,FALSE))),
"",
IF($A49&lt;$N$45,VLOOKUP($A49,$N$77:$Y$117,HLOOKUP(C$17,$O$72:$Y$73,2,FALSE),FALSE),VLOOKUP($A49,$N$45:$Y$57,C$16+3,FALSE)))</f>
        <v/>
      </c>
      <c r="D49" s="398" t="str">
        <f t="shared" si="19"/>
        <v/>
      </c>
      <c r="E49" s="398" t="str">
        <f t="shared" si="19"/>
        <v/>
      </c>
      <c r="F49" s="398" t="str">
        <f t="shared" si="19"/>
        <v/>
      </c>
      <c r="G49" s="398" t="str">
        <f t="shared" si="19"/>
        <v/>
      </c>
      <c r="H49" s="398" t="str">
        <f t="shared" si="19"/>
        <v/>
      </c>
      <c r="I49" s="398" t="str">
        <f t="shared" si="19"/>
        <v/>
      </c>
      <c r="J49" s="398" t="str">
        <f t="shared" si="9"/>
        <v/>
      </c>
      <c r="K49" s="398" t="str">
        <f t="shared" si="9"/>
        <v/>
      </c>
      <c r="M49" s="587"/>
      <c r="N49" s="424">
        <f t="shared" si="15"/>
        <v>5</v>
      </c>
      <c r="O49" s="412" t="e">
        <f>#N/A</f>
        <v>#N/A</v>
      </c>
      <c r="P49" s="412" t="e">
        <f>#N/A</f>
        <v>#N/A</v>
      </c>
      <c r="Q49" s="412" t="e">
        <f>#N/A</f>
        <v>#N/A</v>
      </c>
      <c r="R49" s="412" t="e">
        <f>#N/A</f>
        <v>#N/A</v>
      </c>
      <c r="S49" s="412" t="e">
        <f>#N/A</f>
        <v>#N/A</v>
      </c>
      <c r="T49" s="412" t="e">
        <f>#N/A</f>
        <v>#N/A</v>
      </c>
      <c r="U49" s="412" t="e">
        <f>#N/A</f>
        <v>#N/A</v>
      </c>
      <c r="V49" s="412" t="e">
        <f>#N/A</f>
        <v>#N/A</v>
      </c>
      <c r="W49" s="412" t="e">
        <f>#N/A</f>
        <v>#N/A</v>
      </c>
      <c r="X49" s="412" t="e">
        <f>#N/A</f>
        <v>#N/A</v>
      </c>
      <c r="Y49" s="412" t="e">
        <f>#N/A</f>
        <v>#N/A</v>
      </c>
      <c r="AM49" s="425">
        <f t="shared" si="10"/>
        <v>81</v>
      </c>
      <c r="AN49" s="425">
        <f t="shared" si="16"/>
        <v>4</v>
      </c>
      <c r="AO49" s="425" t="str">
        <f t="shared" si="17"/>
        <v/>
      </c>
      <c r="AP49" s="425">
        <f t="shared" si="18"/>
        <v>0</v>
      </c>
      <c r="AQ49" s="425">
        <f t="shared" si="11"/>
        <v>0</v>
      </c>
      <c r="AR49" s="425" t="str">
        <f t="shared" si="12"/>
        <v/>
      </c>
      <c r="AW49" s="425" t="str">
        <f t="shared" si="13"/>
        <v/>
      </c>
      <c r="AX49" s="426">
        <f>Exploitation!E18</f>
        <v>0</v>
      </c>
      <c r="AY49" s="427">
        <f>Exploitation!C18</f>
        <v>0</v>
      </c>
      <c r="AZ49" s="427">
        <f>Exploitation!D18</f>
        <v>0</v>
      </c>
      <c r="BA49" s="427">
        <f>Exploitation!G18+Exploitation!H18</f>
        <v>0</v>
      </c>
      <c r="BB49" s="427">
        <f>Exploitation!F18</f>
        <v>0</v>
      </c>
      <c r="BC49" s="427">
        <f>Exploitation!I18</f>
        <v>0</v>
      </c>
      <c r="BK49" s="425" t="str">
        <f>IF(Exploitation!B19="","",Exploitation!B19)</f>
        <v/>
      </c>
      <c r="BL49" s="426" t="str">
        <f>IF('Synthèse des émissions'!M64="Oui",'Synthèse des émissions'!F118,IF('Synthèse des émissions'!N64="Oui",'Synthèse des émissions'!J118,""))</f>
        <v/>
      </c>
      <c r="BM49" s="427" t="str">
        <f>IF('Synthèse des émissions'!$M64="Oui","",'Synthèse des émissions'!E118)</f>
        <v/>
      </c>
      <c r="BN49" s="427" t="str">
        <f>IF('Synthèse des émissions'!$M64="Oui","",'Synthèse des émissions'!C118)</f>
        <v/>
      </c>
      <c r="BO49" s="427" t="str">
        <f>IF('Synthèse des émissions'!$M64="Oui","",'Synthèse des émissions'!D118)</f>
        <v/>
      </c>
      <c r="BP49" s="427" t="str">
        <f>IF('Synthèse des émissions'!$N64="Oui","",'Synthèse des émissions'!H118)</f>
        <v/>
      </c>
      <c r="BQ49" s="427" t="str">
        <f>IF('Synthèse des émissions'!$N64="Oui","",'Synthèse des émissions'!G118)</f>
        <v/>
      </c>
      <c r="BR49" s="427" t="str">
        <f>IF('Synthèse des émissions'!$N64="Oui","",'Synthèse des émissions'!I118)</f>
        <v/>
      </c>
      <c r="BS49" s="425" t="str">
        <f>CONCATENATE(IF('Synthèse des émissions'!M64="Oui",CONCATENATE(IF(Déclaration!AX50&lt;&gt;0,CONCATENATE(Déclaration!AX50,Déclaration!$CC$45),""),IF(Déclaration!AY50&lt;&gt;0,CONCATENATE(Déclaration!AY50,Déclaration!$CC$46),""),IF(Déclaration!AZ50&lt;&gt;0,CONCATENATE(Déclaration!AZ50,Déclaration!$CC$47),"")),IF('Synthèse des émissions'!N64="Oui",CONCATENATE(IF(Déclaration!BA50&lt;&gt;0,CONCATENATE(Déclaration!BA50,Déclaration!$CC$51),""),IF(Déclaration!BB50&lt;&gt;0,CONCATENATE(Déclaration!BB50,Déclaration!$CC$52),""),IF(Déclaration!BC50&lt;&gt;0,CONCATENATE(Déclaration!BC50,Déclaration!$CC$53),"")),"")))</f>
        <v/>
      </c>
      <c r="BT49" s="428" t="str">
        <f>IF(BK49="","",IF(OR(BL49&lt;&gt;"",BM49&lt;&gt;"",BN49&lt;&gt;"",BO49&lt;&gt;"",BP49&lt;&gt;"",BQ49&lt;&gt;"",BR49&lt;&gt;""),CONCATENATE("VLE ",'Synthèse des émissions'!C64," (",IF(BM49="","",CONCATENATE($CC$48,'Synthèse des émissions'!G64,".")),IF(BN49="","",CONCATENATE(IF('Synthèse des émissions'!D64="",CONCATENATE($CC$49,": ",'Synthèse des émissions'!E64,"."),CONCATENATE($CC$49," sortant à ",'Synthèse des émissions'!D64," kg: ",ROUND('Synthèse des émissions'!E64,3),".")))),IF(BO49="","",CONCATENATE(CC$50,'Synthèse des émissions'!F64,".")),IF(BP49="","",CONCATENATE($CC$54,'Synthèse des émissions'!J64,".")),IF(BQ49="","",CONCATENATE($CC$55,'Synthèse des émissions'!I64,".")),IF(BR49="","",CONCATENATE($CC$56,'Synthèse des émissions'!K64,".")),CONCATENATE(IF(AND(BL49&lt;&gt;"",'Synthèse des émissions'!M64="Oui"),CONCATENATE(Déclaration!$CC$57,": ",ROUND('Synthèse des émissions'!H64,3)),IF(AND(BL49&lt;&gt;"",'Synthèse des émissions'!N64="Oui"),CONCATENATE(Déclaration!$CC$58,": ",ROUND('Synthèse des émissions'!L64,3)),"")),")"))))</f>
        <v/>
      </c>
      <c r="BW49" s="396" t="str">
        <f t="shared" si="14"/>
        <v xml:space="preserve"> bis</v>
      </c>
      <c r="BX49" s="425" t="str">
        <f>IF(AND('Synthèse des émissions'!M64="Oui",'Synthèse des émissions'!N64="Oui"),'Synthèse des émissions'!L64,"")</f>
        <v/>
      </c>
      <c r="BY49" s="425" t="str">
        <f>IF(AND('Synthèse des émissions'!M64="Oui",'Synthèse des émissions'!N64="Oui"),CONCATENATE(IF(BA50&lt;&gt;0,CONCATENATE(BA50,$CC$51),""),IF(BB50&lt;&gt;0,CONCATENATE(BB50,$CC$52),""),IF(BC50&lt;&gt;0,CONCATENATE(BC50,$CC$53),"")),"")</f>
        <v/>
      </c>
      <c r="BZ49" s="425" t="str">
        <f>IF(AND(BM49="",BN49="",BO49="",BP49="",BQ49="",BR49="",BL49="",BY49=""),"",IF(BY49="","",CONCATENATE("VLE ",'Synthèse des émissions'!C64," (",$CC$58,": ",ROUND('Synthèse des émissions'!L64,3),")")))</f>
        <v/>
      </c>
      <c r="CB49" s="425" t="s">
        <v>809</v>
      </c>
      <c r="CC49" s="425" t="s">
        <v>810</v>
      </c>
    </row>
    <row r="50" spans="1:81" x14ac:dyDescent="0.35">
      <c r="A50" s="461">
        <v>32</v>
      </c>
      <c r="B50" s="406" t="str">
        <f t="shared" si="6"/>
        <v/>
      </c>
      <c r="C50" s="398" t="str">
        <f t="shared" si="19"/>
        <v/>
      </c>
      <c r="D50" s="398" t="str">
        <f t="shared" si="19"/>
        <v/>
      </c>
      <c r="E50" s="398" t="str">
        <f t="shared" si="19"/>
        <v/>
      </c>
      <c r="F50" s="398" t="str">
        <f t="shared" si="19"/>
        <v/>
      </c>
      <c r="G50" s="398" t="str">
        <f t="shared" si="19"/>
        <v/>
      </c>
      <c r="H50" s="398" t="str">
        <f t="shared" si="19"/>
        <v/>
      </c>
      <c r="I50" s="398" t="str">
        <f t="shared" si="19"/>
        <v/>
      </c>
      <c r="J50" s="398" t="str">
        <f t="shared" si="9"/>
        <v/>
      </c>
      <c r="K50" s="398" t="str">
        <f t="shared" si="9"/>
        <v/>
      </c>
      <c r="M50" s="587"/>
      <c r="N50" s="424">
        <f t="shared" si="15"/>
        <v>6</v>
      </c>
      <c r="O50" s="412" t="e">
        <f>#N/A</f>
        <v>#N/A</v>
      </c>
      <c r="P50" s="412" t="s">
        <v>807</v>
      </c>
      <c r="Q50" s="412" t="e">
        <f>#N/A</f>
        <v>#N/A</v>
      </c>
      <c r="R50" s="412" t="e">
        <f>#N/A</f>
        <v>#N/A</v>
      </c>
      <c r="S50" s="412" t="e">
        <f>#N/A</f>
        <v>#N/A</v>
      </c>
      <c r="T50" s="412" t="e">
        <f>#N/A</f>
        <v>#N/A</v>
      </c>
      <c r="U50" s="412" t="e">
        <f>#N/A</f>
        <v>#N/A</v>
      </c>
      <c r="V50" s="412" t="e">
        <f>#N/A</f>
        <v>#N/A</v>
      </c>
      <c r="W50" s="412" t="e">
        <f>#N/A</f>
        <v>#N/A</v>
      </c>
      <c r="X50" s="412" t="e">
        <f>#N/A</f>
        <v>#N/A</v>
      </c>
      <c r="Y50" s="412" t="e">
        <f>#N/A</f>
        <v>#N/A</v>
      </c>
      <c r="AM50" s="425">
        <f t="shared" si="10"/>
        <v>82</v>
      </c>
      <c r="AN50" s="425">
        <f t="shared" si="16"/>
        <v>5</v>
      </c>
      <c r="AO50" s="425" t="str">
        <f t="shared" si="17"/>
        <v/>
      </c>
      <c r="AP50" s="425">
        <f t="shared" si="18"/>
        <v>0</v>
      </c>
      <c r="AQ50" s="425">
        <f t="shared" si="11"/>
        <v>0</v>
      </c>
      <c r="AR50" s="425" t="str">
        <f t="shared" si="12"/>
        <v/>
      </c>
      <c r="AW50" s="425" t="str">
        <f t="shared" si="13"/>
        <v/>
      </c>
      <c r="AX50" s="426">
        <f>Exploitation!E19</f>
        <v>0</v>
      </c>
      <c r="AY50" s="427">
        <f>Exploitation!C19</f>
        <v>0</v>
      </c>
      <c r="AZ50" s="427">
        <f>Exploitation!D19</f>
        <v>0</v>
      </c>
      <c r="BA50" s="427">
        <f>Exploitation!G19+Exploitation!H19</f>
        <v>0</v>
      </c>
      <c r="BB50" s="427">
        <f>Exploitation!F19</f>
        <v>0</v>
      </c>
      <c r="BC50" s="427">
        <f>Exploitation!I19</f>
        <v>0</v>
      </c>
      <c r="BK50" s="425" t="str">
        <f>IF(Exploitation!B20="","",Exploitation!B20)</f>
        <v/>
      </c>
      <c r="BL50" s="426" t="str">
        <f>IF('Synthèse des émissions'!M65="Oui",'Synthèse des émissions'!F119,IF('Synthèse des émissions'!N65="Oui",'Synthèse des émissions'!J119,""))</f>
        <v/>
      </c>
      <c r="BM50" s="427" t="str">
        <f>IF('Synthèse des émissions'!$M65="Oui","",'Synthèse des émissions'!E119)</f>
        <v/>
      </c>
      <c r="BN50" s="427" t="str">
        <f>IF('Synthèse des émissions'!$M65="Oui","",'Synthèse des émissions'!C119)</f>
        <v/>
      </c>
      <c r="BO50" s="427" t="str">
        <f>IF('Synthèse des émissions'!$M65="Oui","",'Synthèse des émissions'!D119)</f>
        <v/>
      </c>
      <c r="BP50" s="427" t="str">
        <f>IF('Synthèse des émissions'!$N65="Oui","",'Synthèse des émissions'!H119)</f>
        <v/>
      </c>
      <c r="BQ50" s="427" t="str">
        <f>IF('Synthèse des émissions'!$N65="Oui","",'Synthèse des émissions'!G119)</f>
        <v/>
      </c>
      <c r="BR50" s="427" t="str">
        <f>IF('Synthèse des émissions'!$N65="Oui","",'Synthèse des émissions'!I119)</f>
        <v/>
      </c>
      <c r="BS50" s="425" t="str">
        <f>CONCATENATE(IF('Synthèse des émissions'!M65="Oui",CONCATENATE(IF(Déclaration!AX51&lt;&gt;0,CONCATENATE(Déclaration!AX51,Déclaration!$CC$45),""),IF(Déclaration!AY51&lt;&gt;0,CONCATENATE(Déclaration!AY51,Déclaration!$CC$46),""),IF(Déclaration!AZ51&lt;&gt;0,CONCATENATE(Déclaration!AZ51,Déclaration!$CC$47),"")),IF('Synthèse des émissions'!N65="Oui",CONCATENATE(IF(Déclaration!BA51&lt;&gt;0,CONCATENATE(Déclaration!BA51,Déclaration!$CC$51),""),IF(Déclaration!BB51&lt;&gt;0,CONCATENATE(Déclaration!BB51,Déclaration!$CC$52),""),IF(Déclaration!BC51&lt;&gt;0,CONCATENATE(Déclaration!BC51,Déclaration!$CC$53),"")),"")))</f>
        <v/>
      </c>
      <c r="BT50" s="428" t="str">
        <f>IF(BK50="","",IF(OR(BL50&lt;&gt;"",BM50&lt;&gt;"",BN50&lt;&gt;"",BO50&lt;&gt;"",BP50&lt;&gt;"",BQ50&lt;&gt;"",BR50&lt;&gt;""),CONCATENATE("VLE ",'Synthèse des émissions'!C65," (",IF(BM50="","",CONCATENATE($CC$48,'Synthèse des émissions'!G65,".")),IF(BN50="","",CONCATENATE(IF('Synthèse des émissions'!D65="",CONCATENATE($CC$49,": ",'Synthèse des émissions'!E65,"."),CONCATENATE($CC$49," sortant à ",'Synthèse des émissions'!D65," kg: ",ROUND('Synthèse des émissions'!E65,3),".")))),IF(BO50="","",CONCATENATE(CC$50,'Synthèse des émissions'!F65,".")),IF(BP50="","",CONCATENATE($CC$54,'Synthèse des émissions'!J65,".")),IF(BQ50="","",CONCATENATE($CC$55,'Synthèse des émissions'!I65,".")),IF(BR50="","",CONCATENATE($CC$56,'Synthèse des émissions'!K65,".")),CONCATENATE(IF(AND(BL50&lt;&gt;"",'Synthèse des émissions'!M65="Oui"),CONCATENATE(Déclaration!$CC$57,": ",ROUND('Synthèse des émissions'!H65,3)),IF(AND(BL50&lt;&gt;"",'Synthèse des émissions'!N65="Oui"),CONCATENATE(Déclaration!$CC$58,": ",ROUND('Synthèse des émissions'!L65,3)),"")),")"))))</f>
        <v/>
      </c>
      <c r="BW50" s="396" t="str">
        <f t="shared" si="14"/>
        <v xml:space="preserve"> bis</v>
      </c>
      <c r="BX50" s="425" t="str">
        <f>IF(AND('Synthèse des émissions'!M65="Oui",'Synthèse des émissions'!N65="Oui"),'Synthèse des émissions'!L65,"")</f>
        <v/>
      </c>
      <c r="BY50" s="425" t="str">
        <f>IF(AND('Synthèse des émissions'!M65="Oui",'Synthèse des émissions'!N65="Oui"),CONCATENATE(IF(BA51&lt;&gt;0,CONCATENATE(BA51,$CC$51),""),IF(BB51&lt;&gt;0,CONCATENATE(BB51,$CC$52),""),IF(BC51&lt;&gt;0,CONCATENATE(BC51,$CC$53),"")),"")</f>
        <v/>
      </c>
      <c r="BZ50" s="425" t="str">
        <f>IF(AND(BM50="",BN50="",BO50="",BP50="",BQ50="",BR50="",BL50="",BY50=""),"",IF(BY50="","",CONCATENATE("VLE ",'Synthèse des émissions'!C65," (",$CC$58,": ",ROUND('Synthèse des émissions'!L65,3),")")))</f>
        <v/>
      </c>
      <c r="CB50" s="425"/>
      <c r="CC50" s="425" t="s">
        <v>836</v>
      </c>
    </row>
    <row r="51" spans="1:81" x14ac:dyDescent="0.35">
      <c r="A51" s="461">
        <v>33</v>
      </c>
      <c r="B51" s="406" t="str">
        <f t="shared" si="6"/>
        <v/>
      </c>
      <c r="C51" s="398" t="str">
        <f t="shared" si="19"/>
        <v/>
      </c>
      <c r="D51" s="398" t="str">
        <f t="shared" si="19"/>
        <v/>
      </c>
      <c r="E51" s="398" t="str">
        <f t="shared" si="19"/>
        <v/>
      </c>
      <c r="F51" s="398" t="str">
        <f t="shared" si="19"/>
        <v/>
      </c>
      <c r="G51" s="398" t="str">
        <f t="shared" si="19"/>
        <v/>
      </c>
      <c r="H51" s="398" t="str">
        <f t="shared" si="19"/>
        <v/>
      </c>
      <c r="I51" s="398" t="str">
        <f t="shared" si="19"/>
        <v/>
      </c>
      <c r="J51" s="398" t="str">
        <f t="shared" si="9"/>
        <v/>
      </c>
      <c r="K51" s="398" t="str">
        <f t="shared" si="9"/>
        <v/>
      </c>
      <c r="M51" s="587"/>
      <c r="N51" s="424">
        <f t="shared" si="15"/>
        <v>7</v>
      </c>
      <c r="O51" s="412" t="e">
        <f>#N/A</f>
        <v>#N/A</v>
      </c>
      <c r="P51" s="412" t="e">
        <f>#N/A</f>
        <v>#N/A</v>
      </c>
      <c r="Q51" s="412" t="e">
        <f>#N/A</f>
        <v>#N/A</v>
      </c>
      <c r="R51" s="412" t="e">
        <f>#N/A</f>
        <v>#N/A</v>
      </c>
      <c r="S51" s="412" t="e">
        <f>#N/A</f>
        <v>#N/A</v>
      </c>
      <c r="T51" s="412" t="e">
        <f>#N/A</f>
        <v>#N/A</v>
      </c>
      <c r="U51" s="412" t="e">
        <f>#N/A</f>
        <v>#N/A</v>
      </c>
      <c r="V51" s="413" t="str">
        <f>IF(ISNUMBER(W51),"NH3",#N/A)</f>
        <v>NH3</v>
      </c>
      <c r="W51" s="413">
        <f>IF(X51="kg/an",'Synthèse des émissions'!$C$11,IF(ISNUMBER(X51),"NH3",#N/A))</f>
        <v>0</v>
      </c>
      <c r="X51" s="413" t="str">
        <f>IF($Y$74&lt;&gt;9,"kg/an",IF(Y51="kg/an",'Synthèse des émissions'!$C$11,#N/A))</f>
        <v>kg/an</v>
      </c>
      <c r="Y51" s="413" t="e">
        <f>IF($Y$74=9,"kg/an",#N/A)</f>
        <v>#N/A</v>
      </c>
      <c r="AM51" s="425">
        <f t="shared" si="10"/>
        <v>83</v>
      </c>
      <c r="AN51" s="425">
        <f t="shared" si="16"/>
        <v>6</v>
      </c>
      <c r="AO51" s="425" t="str">
        <f t="shared" si="17"/>
        <v/>
      </c>
      <c r="AP51" s="425">
        <f t="shared" si="18"/>
        <v>0</v>
      </c>
      <c r="AQ51" s="425">
        <f t="shared" si="11"/>
        <v>0</v>
      </c>
      <c r="AR51" s="425" t="str">
        <f t="shared" si="12"/>
        <v/>
      </c>
      <c r="AW51" s="425" t="str">
        <f t="shared" si="13"/>
        <v/>
      </c>
      <c r="AX51" s="426">
        <f>Exploitation!E20</f>
        <v>0</v>
      </c>
      <c r="AY51" s="427">
        <f>Exploitation!C20</f>
        <v>0</v>
      </c>
      <c r="AZ51" s="427">
        <f>Exploitation!D20</f>
        <v>0</v>
      </c>
      <c r="BA51" s="427">
        <f>Exploitation!G20+Exploitation!H20</f>
        <v>0</v>
      </c>
      <c r="BB51" s="427">
        <f>Exploitation!F20</f>
        <v>0</v>
      </c>
      <c r="BC51" s="427">
        <f>Exploitation!I20</f>
        <v>0</v>
      </c>
      <c r="BK51" s="425" t="str">
        <f>IF(Exploitation!B21="","",Exploitation!B21)</f>
        <v/>
      </c>
      <c r="BL51" s="426" t="str">
        <f>IF('Synthèse des émissions'!M66="Oui",'Synthèse des émissions'!F120,IF('Synthèse des émissions'!N66="Oui",'Synthèse des émissions'!J120,""))</f>
        <v/>
      </c>
      <c r="BM51" s="427" t="str">
        <f>IF('Synthèse des émissions'!$M66="Oui","",'Synthèse des émissions'!E120)</f>
        <v/>
      </c>
      <c r="BN51" s="427" t="str">
        <f>IF('Synthèse des émissions'!$M66="Oui","",'Synthèse des émissions'!C120)</f>
        <v/>
      </c>
      <c r="BO51" s="427" t="str">
        <f>IF('Synthèse des émissions'!$M66="Oui","",'Synthèse des émissions'!D120)</f>
        <v/>
      </c>
      <c r="BP51" s="427" t="str">
        <f>IF('Synthèse des émissions'!$N66="Oui","",'Synthèse des émissions'!H120)</f>
        <v/>
      </c>
      <c r="BQ51" s="427" t="str">
        <f>IF('Synthèse des émissions'!$N66="Oui","",'Synthèse des émissions'!G120)</f>
        <v/>
      </c>
      <c r="BR51" s="427" t="str">
        <f>IF('Synthèse des émissions'!$N66="Oui","",'Synthèse des émissions'!I120)</f>
        <v/>
      </c>
      <c r="BS51" s="425" t="str">
        <f>CONCATENATE(IF('Synthèse des émissions'!M66="Oui",CONCATENATE(IF(Déclaration!AX52&lt;&gt;0,CONCATENATE(Déclaration!AX52,Déclaration!$CC$45),""),IF(Déclaration!AY52&lt;&gt;0,CONCATENATE(Déclaration!AY52,Déclaration!$CC$46),""),IF(Déclaration!AZ52&lt;&gt;0,CONCATENATE(Déclaration!AZ52,Déclaration!$CC$47),"")),IF('Synthèse des émissions'!N66="Oui",CONCATENATE(IF(Déclaration!BA52&lt;&gt;0,CONCATENATE(Déclaration!BA52,Déclaration!$CC$51),""),IF(Déclaration!BB52&lt;&gt;0,CONCATENATE(Déclaration!BB52,Déclaration!$CC$52),""),IF(Déclaration!BC52&lt;&gt;0,CONCATENATE(Déclaration!BC52,Déclaration!$CC$53),"")),"")))</f>
        <v/>
      </c>
      <c r="BT51" s="428" t="str">
        <f>IF(BK51="","",IF(OR(BL51&lt;&gt;"",BM51&lt;&gt;"",BN51&lt;&gt;"",BO51&lt;&gt;"",BP51&lt;&gt;"",BQ51&lt;&gt;"",BR51&lt;&gt;""),CONCATENATE("VLE ",'Synthèse des émissions'!C66," (",IF(BM51="","",CONCATENATE($CC$48,'Synthèse des émissions'!G66,".")),IF(BN51="","",CONCATENATE(IF('Synthèse des émissions'!D66="",CONCATENATE($CC$49,": ",'Synthèse des émissions'!E66,"."),CONCATENATE($CC$49," sortant à ",'Synthèse des émissions'!D66," kg: ",ROUND('Synthèse des émissions'!E66,3),".")))),IF(BO51="","",CONCATENATE(CC$50,'Synthèse des émissions'!F66,".")),IF(BP51="","",CONCATENATE($CC$54,'Synthèse des émissions'!J66,".")),IF(BQ51="","",CONCATENATE($CC$55,'Synthèse des émissions'!I66,".")),IF(BR51="","",CONCATENATE($CC$56,'Synthèse des émissions'!K66,".")),CONCATENATE(IF(AND(BL51&lt;&gt;"",'Synthèse des émissions'!M66="Oui"),CONCATENATE(Déclaration!$CC$57,": ",ROUND('Synthèse des émissions'!H66,3)),IF(AND(BL51&lt;&gt;"",'Synthèse des émissions'!N66="Oui"),CONCATENATE(Déclaration!$CC$58,": ",ROUND('Synthèse des émissions'!L66,3)),"")),")"))))</f>
        <v/>
      </c>
      <c r="BW51" s="396" t="str">
        <f t="shared" si="14"/>
        <v xml:space="preserve"> bis</v>
      </c>
      <c r="BX51" s="425" t="str">
        <f>IF(AND('Synthèse des émissions'!M66="Oui",'Synthèse des émissions'!N66="Oui"),'Synthèse des émissions'!L66,"")</f>
        <v/>
      </c>
      <c r="BY51" s="425" t="str">
        <f>IF(AND('Synthèse des émissions'!M66="Oui",'Synthèse des émissions'!N66="Oui"),CONCATENATE(IF(BA52&lt;&gt;0,CONCATENATE(BA52,$CC$51),""),IF(BB52&lt;&gt;0,CONCATENATE(BB52,$CC$52),""),IF(BC52&lt;&gt;0,CONCATENATE(BC52,$CC$53),"")),"")</f>
        <v/>
      </c>
      <c r="BZ51" s="425" t="str">
        <f>IF(AND(BM51="",BN51="",BO51="",BP51="",BQ51="",BR51="",BL51="",BY51=""),"",IF(BY51="","",CONCATENATE("VLE ",'Synthèse des émissions'!C66," (",$CC$58,": ",ROUND('Synthèse des émissions'!L66,3),")")))</f>
        <v/>
      </c>
      <c r="CB51" s="425"/>
      <c r="CC51" s="425" t="s">
        <v>831</v>
      </c>
    </row>
    <row r="52" spans="1:81" s="396" customFormat="1" x14ac:dyDescent="0.35">
      <c r="A52" s="461">
        <v>34</v>
      </c>
      <c r="B52" s="406" t="str">
        <f t="shared" si="6"/>
        <v/>
      </c>
      <c r="C52" s="398" t="str">
        <f t="shared" si="19"/>
        <v/>
      </c>
      <c r="D52" s="398" t="str">
        <f t="shared" si="19"/>
        <v/>
      </c>
      <c r="E52" s="398" t="str">
        <f t="shared" si="19"/>
        <v/>
      </c>
      <c r="F52" s="398" t="str">
        <f t="shared" si="19"/>
        <v/>
      </c>
      <c r="G52" s="398" t="str">
        <f t="shared" si="19"/>
        <v/>
      </c>
      <c r="H52" s="398" t="str">
        <f t="shared" si="19"/>
        <v/>
      </c>
      <c r="I52" s="398" t="str">
        <f t="shared" si="19"/>
        <v/>
      </c>
      <c r="J52" s="398" t="str">
        <f t="shared" si="9"/>
        <v/>
      </c>
      <c r="K52" s="398" t="str">
        <f t="shared" si="9"/>
        <v/>
      </c>
      <c r="L52" s="458"/>
      <c r="M52" s="587"/>
      <c r="N52" s="424">
        <f t="shared" si="15"/>
        <v>8</v>
      </c>
      <c r="O52" s="412" t="e">
        <f>#N/A</f>
        <v>#N/A</v>
      </c>
      <c r="P52" s="412" t="e">
        <f>#N/A</f>
        <v>#N/A</v>
      </c>
      <c r="Q52" s="412" t="e">
        <f>#N/A</f>
        <v>#N/A</v>
      </c>
      <c r="R52" s="412" t="e">
        <f>#N/A</f>
        <v>#N/A</v>
      </c>
      <c r="S52" s="412" t="e">
        <f>#N/A</f>
        <v>#N/A</v>
      </c>
      <c r="T52" s="412" t="e">
        <f>#N/A</f>
        <v>#N/A</v>
      </c>
      <c r="U52" s="412" t="e">
        <f>#N/A</f>
        <v>#N/A</v>
      </c>
      <c r="V52" s="413" t="str">
        <f>IF(ISNUMBER(W52),"N2O",#N/A)</f>
        <v>N2O</v>
      </c>
      <c r="W52" s="413">
        <f>IF(X52="kg/an",'Synthèse des émissions'!$D$11,IF(ISNUMBER(X52),"N2O",#N/A))</f>
        <v>0</v>
      </c>
      <c r="X52" s="413" t="str">
        <f>IF($Y$74&lt;&gt;9,"kg/an",IF(Y52="kg/an",'Synthèse des émissions'!$D$11,#N/A))</f>
        <v>kg/an</v>
      </c>
      <c r="Y52" s="413" t="e">
        <f>IF($Y$74=9,"kg/an",#N/A)</f>
        <v>#N/A</v>
      </c>
      <c r="AM52" s="425">
        <f t="shared" si="10"/>
        <v>84</v>
      </c>
      <c r="AN52" s="425">
        <f t="shared" si="16"/>
        <v>7</v>
      </c>
      <c r="AO52" s="425" t="str">
        <f t="shared" si="17"/>
        <v/>
      </c>
      <c r="AP52" s="425">
        <f t="shared" si="18"/>
        <v>0</v>
      </c>
      <c r="AQ52" s="425">
        <f t="shared" si="11"/>
        <v>0</v>
      </c>
      <c r="AR52" s="425" t="str">
        <f t="shared" si="12"/>
        <v/>
      </c>
      <c r="AW52" s="425" t="str">
        <f t="shared" si="13"/>
        <v/>
      </c>
      <c r="AX52" s="426">
        <f>Exploitation!E21</f>
        <v>0</v>
      </c>
      <c r="AY52" s="427">
        <f>Exploitation!C21</f>
        <v>0</v>
      </c>
      <c r="AZ52" s="427">
        <f>Exploitation!D21</f>
        <v>0</v>
      </c>
      <c r="BA52" s="427">
        <f>Exploitation!G21+Exploitation!H21</f>
        <v>0</v>
      </c>
      <c r="BB52" s="427">
        <f>Exploitation!F21</f>
        <v>0</v>
      </c>
      <c r="BC52" s="427">
        <f>Exploitation!I21</f>
        <v>0</v>
      </c>
      <c r="BK52" s="425" t="str">
        <f>IF(Exploitation!B22="","",Exploitation!B22)</f>
        <v/>
      </c>
      <c r="BL52" s="426" t="str">
        <f>IF('Synthèse des émissions'!M67="Oui",'Synthèse des émissions'!F121,IF('Synthèse des émissions'!N67="Oui",'Synthèse des émissions'!J121,""))</f>
        <v/>
      </c>
      <c r="BM52" s="427" t="str">
        <f>IF('Synthèse des émissions'!$M67="Oui","",'Synthèse des émissions'!E121)</f>
        <v/>
      </c>
      <c r="BN52" s="427" t="str">
        <f>IF('Synthèse des émissions'!$M67="Oui","",'Synthèse des émissions'!C121)</f>
        <v/>
      </c>
      <c r="BO52" s="427" t="str">
        <f>IF('Synthèse des émissions'!$M67="Oui","",'Synthèse des émissions'!D121)</f>
        <v/>
      </c>
      <c r="BP52" s="427" t="str">
        <f>IF('Synthèse des émissions'!$N67="Oui","",'Synthèse des émissions'!H121)</f>
        <v/>
      </c>
      <c r="BQ52" s="427" t="str">
        <f>IF('Synthèse des émissions'!$N67="Oui","",'Synthèse des émissions'!G121)</f>
        <v/>
      </c>
      <c r="BR52" s="427" t="str">
        <f>IF('Synthèse des émissions'!$N67="Oui","",'Synthèse des émissions'!I121)</f>
        <v/>
      </c>
      <c r="BS52" s="425" t="str">
        <f>CONCATENATE(IF('Synthèse des émissions'!M67="Oui",CONCATENATE(IF(Déclaration!AX53&lt;&gt;0,CONCATENATE(Déclaration!AX53,Déclaration!$CC$45),""),IF(Déclaration!AY53&lt;&gt;0,CONCATENATE(Déclaration!AY53,Déclaration!$CC$46),""),IF(Déclaration!AZ53&lt;&gt;0,CONCATENATE(Déclaration!AZ53,Déclaration!$CC$47),"")),IF('Synthèse des émissions'!N67="Oui",CONCATENATE(IF(Déclaration!BA53&lt;&gt;0,CONCATENATE(Déclaration!BA53,Déclaration!$CC$51),""),IF(Déclaration!BB53&lt;&gt;0,CONCATENATE(Déclaration!BB53,Déclaration!$CC$52),""),IF(Déclaration!BC53&lt;&gt;0,CONCATENATE(Déclaration!BC53,Déclaration!$CC$53),"")),"")))</f>
        <v/>
      </c>
      <c r="BT52" s="428" t="str">
        <f>IF(BK52="","",IF(OR(BL52&lt;&gt;"",BM52&lt;&gt;"",BN52&lt;&gt;"",BO52&lt;&gt;"",BP52&lt;&gt;"",BQ52&lt;&gt;"",BR52&lt;&gt;""),CONCATENATE("VLE ",'Synthèse des émissions'!C67," (",IF(BM52="","",CONCATENATE($CC$48,'Synthèse des émissions'!G67,".")),IF(BN52="","",CONCATENATE(IF('Synthèse des émissions'!D67="",CONCATENATE($CC$49,": ",'Synthèse des émissions'!E67,"."),CONCATENATE($CC$49," sortant à ",'Synthèse des émissions'!D67," kg: ",ROUND('Synthèse des émissions'!E67,3),".")))),IF(BO52="","",CONCATENATE(CC$50,'Synthèse des émissions'!F67,".")),IF(BP52="","",CONCATENATE($CC$54,'Synthèse des émissions'!J67,".")),IF(BQ52="","",CONCATENATE($CC$55,'Synthèse des émissions'!I67,".")),IF(BR52="","",CONCATENATE($CC$56,'Synthèse des émissions'!K67,".")),CONCATENATE(IF(AND(BL52&lt;&gt;"",'Synthèse des émissions'!M67="Oui"),CONCATENATE(Déclaration!$CC$57,": ",ROUND('Synthèse des émissions'!H67,3)),IF(AND(BL52&lt;&gt;"",'Synthèse des émissions'!N67="Oui"),CONCATENATE(Déclaration!$CC$58,": ",ROUND('Synthèse des émissions'!L67,3)),"")),")"))))</f>
        <v/>
      </c>
      <c r="BW52" s="396" t="str">
        <f t="shared" si="14"/>
        <v xml:space="preserve"> bis</v>
      </c>
      <c r="BX52" s="425" t="str">
        <f>IF(AND('Synthèse des émissions'!M67="Oui",'Synthèse des émissions'!N67="Oui"),'Synthèse des émissions'!L67,"")</f>
        <v/>
      </c>
      <c r="BY52" s="425" t="str">
        <f>IF(AND('Synthèse des émissions'!M67="Oui",'Synthèse des émissions'!N67="Oui"),CONCATENATE(IF(BA53&lt;&gt;0,CONCATENATE(BA53,$CC$51),""),IF(BB53&lt;&gt;0,CONCATENATE(BB53,$CC$52),""),IF(BC53&lt;&gt;0,CONCATENATE(BC53,$CC$53),"")),"")</f>
        <v/>
      </c>
      <c r="BZ52" s="425" t="str">
        <f>IF(AND(BM52="",BN52="",BO52="",BP52="",BQ52="",BR52="",BL52="",BY52=""),"",IF(BY52="","",CONCATENATE("VLE ",'Synthèse des émissions'!C67," (",$CC$58,": ",ROUND('Synthèse des émissions'!L67,3),")")))</f>
        <v/>
      </c>
      <c r="CB52" s="425"/>
      <c r="CC52" s="425" t="s">
        <v>832</v>
      </c>
    </row>
    <row r="53" spans="1:81" s="396" customFormat="1" x14ac:dyDescent="0.35">
      <c r="A53" s="461">
        <v>35</v>
      </c>
      <c r="B53" s="406" t="str">
        <f t="shared" si="6"/>
        <v/>
      </c>
      <c r="C53" s="398" t="str">
        <f t="shared" si="19"/>
        <v/>
      </c>
      <c r="D53" s="398" t="str">
        <f t="shared" si="19"/>
        <v/>
      </c>
      <c r="E53" s="398" t="str">
        <f t="shared" si="19"/>
        <v/>
      </c>
      <c r="F53" s="398" t="str">
        <f t="shared" si="19"/>
        <v/>
      </c>
      <c r="G53" s="398" t="str">
        <f t="shared" si="19"/>
        <v/>
      </c>
      <c r="H53" s="398" t="str">
        <f t="shared" si="19"/>
        <v/>
      </c>
      <c r="I53" s="398" t="str">
        <f t="shared" si="19"/>
        <v/>
      </c>
      <c r="J53" s="398" t="str">
        <f t="shared" si="9"/>
        <v/>
      </c>
      <c r="K53" s="398" t="str">
        <f t="shared" si="9"/>
        <v/>
      </c>
      <c r="L53" s="458"/>
      <c r="M53" s="587"/>
      <c r="N53" s="424">
        <f t="shared" si="15"/>
        <v>9</v>
      </c>
      <c r="O53" s="412" t="e">
        <f>#N/A</f>
        <v>#N/A</v>
      </c>
      <c r="P53" s="412" t="e">
        <f>#N/A</f>
        <v>#N/A</v>
      </c>
      <c r="Q53" s="412" t="e">
        <f>#N/A</f>
        <v>#N/A</v>
      </c>
      <c r="R53" s="412" t="e">
        <f>#N/A</f>
        <v>#N/A</v>
      </c>
      <c r="S53" s="412" t="e">
        <f>#N/A</f>
        <v>#N/A</v>
      </c>
      <c r="T53" s="412" t="e">
        <f>#N/A</f>
        <v>#N/A</v>
      </c>
      <c r="U53" s="412" t="e">
        <f>#N/A</f>
        <v>#N/A</v>
      </c>
      <c r="V53" s="413" t="str">
        <f>IF(ISNUMBER(W53),"CH4",#N/A)</f>
        <v>CH4</v>
      </c>
      <c r="W53" s="413">
        <f>IF(X53="kg/an",'Synthèse des émissions'!$E$11,IF(ISNUMBER(X53),"CH4",#N/A))</f>
        <v>0</v>
      </c>
      <c r="X53" s="413" t="str">
        <f>IF($Y$74&lt;&gt;9,"kg/an",IF(Y53="kg/an",'Synthèse des émissions'!$E$11,#N/A))</f>
        <v>kg/an</v>
      </c>
      <c r="Y53" s="413" t="e">
        <f>IF($Y$74=9,"kg/an",#N/A)</f>
        <v>#N/A</v>
      </c>
      <c r="AM53" s="425">
        <f t="shared" si="10"/>
        <v>85</v>
      </c>
      <c r="AN53" s="425">
        <f t="shared" si="16"/>
        <v>8</v>
      </c>
      <c r="AO53" s="425" t="str">
        <f t="shared" si="17"/>
        <v/>
      </c>
      <c r="AP53" s="425">
        <f t="shared" si="18"/>
        <v>0</v>
      </c>
      <c r="AQ53" s="425">
        <f t="shared" si="11"/>
        <v>0</v>
      </c>
      <c r="AR53" s="425" t="str">
        <f t="shared" si="12"/>
        <v/>
      </c>
      <c r="AW53" s="425" t="str">
        <f t="shared" si="13"/>
        <v/>
      </c>
      <c r="AX53" s="426">
        <f>Exploitation!E22</f>
        <v>0</v>
      </c>
      <c r="AY53" s="427">
        <f>Exploitation!C22</f>
        <v>0</v>
      </c>
      <c r="AZ53" s="427">
        <f>Exploitation!D22</f>
        <v>0</v>
      </c>
      <c r="BA53" s="427">
        <f>Exploitation!G22+Exploitation!H22</f>
        <v>0</v>
      </c>
      <c r="BB53" s="427">
        <f>Exploitation!F22</f>
        <v>0</v>
      </c>
      <c r="BC53" s="427">
        <f>Exploitation!I22</f>
        <v>0</v>
      </c>
      <c r="BK53" s="425" t="str">
        <f>IF(Exploitation!B23="","",Exploitation!B23)</f>
        <v/>
      </c>
      <c r="BL53" s="426" t="str">
        <f>IF('Synthèse des émissions'!M68="Oui",'Synthèse des émissions'!F122,IF('Synthèse des émissions'!N68="Oui",'Synthèse des émissions'!J122,""))</f>
        <v/>
      </c>
      <c r="BM53" s="427" t="str">
        <f>IF('Synthèse des émissions'!$M68="Oui","",'Synthèse des émissions'!E122)</f>
        <v/>
      </c>
      <c r="BN53" s="427" t="str">
        <f>IF('Synthèse des émissions'!$M68="Oui","",'Synthèse des émissions'!C122)</f>
        <v/>
      </c>
      <c r="BO53" s="427" t="str">
        <f>IF('Synthèse des émissions'!$M68="Oui","",'Synthèse des émissions'!D122)</f>
        <v/>
      </c>
      <c r="BP53" s="427" t="str">
        <f>IF('Synthèse des émissions'!$N68="Oui","",'Synthèse des émissions'!H122)</f>
        <v/>
      </c>
      <c r="BQ53" s="427" t="str">
        <f>IF('Synthèse des émissions'!$N68="Oui","",'Synthèse des émissions'!G122)</f>
        <v/>
      </c>
      <c r="BR53" s="427" t="str">
        <f>IF('Synthèse des émissions'!$N68="Oui","",'Synthèse des émissions'!I122)</f>
        <v/>
      </c>
      <c r="BS53" s="425" t="str">
        <f>CONCATENATE(IF('Synthèse des émissions'!M68="Oui",CONCATENATE(IF(Déclaration!AX54&lt;&gt;0,CONCATENATE(Déclaration!AX54,Déclaration!$CC$45),""),IF(Déclaration!AY54&lt;&gt;0,CONCATENATE(Déclaration!AY54,Déclaration!$CC$46),""),IF(Déclaration!AZ54&lt;&gt;0,CONCATENATE(Déclaration!AZ54,Déclaration!$CC$47),"")),IF('Synthèse des émissions'!N68="Oui",CONCATENATE(IF(Déclaration!BA54&lt;&gt;0,CONCATENATE(Déclaration!BA54,Déclaration!$CC$51),""),IF(Déclaration!BB54&lt;&gt;0,CONCATENATE(Déclaration!BB54,Déclaration!$CC$52),""),IF(Déclaration!BC54&lt;&gt;0,CONCATENATE(Déclaration!BC54,Déclaration!$CC$53),"")),"")))</f>
        <v/>
      </c>
      <c r="BT53" s="428" t="str">
        <f>IF(BK53="","",IF(OR(BL53&lt;&gt;"",BM53&lt;&gt;"",BN53&lt;&gt;"",BO53&lt;&gt;"",BP53&lt;&gt;"",BQ53&lt;&gt;"",BR53&lt;&gt;""),CONCATENATE("VLE ",'Synthèse des émissions'!C68," (",IF(BM53="","",CONCATENATE($CC$48,'Synthèse des émissions'!G68,".")),IF(BN53="","",CONCATENATE(IF('Synthèse des émissions'!D68="",CONCATENATE($CC$49,": ",'Synthèse des émissions'!E68,"."),CONCATENATE($CC$49," sortant à ",'Synthèse des émissions'!D68," kg: ",ROUND('Synthèse des émissions'!E68,3),".")))),IF(BO53="","",CONCATENATE(CC$50,'Synthèse des émissions'!F68,".")),IF(BP53="","",CONCATENATE($CC$54,'Synthèse des émissions'!J68,".")),IF(BQ53="","",CONCATENATE($CC$55,'Synthèse des émissions'!I68,".")),IF(BR53="","",CONCATENATE($CC$56,'Synthèse des émissions'!K68,".")),CONCATENATE(IF(AND(BL53&lt;&gt;"",'Synthèse des émissions'!M68="Oui"),CONCATENATE(Déclaration!$CC$57,": ",ROUND('Synthèse des émissions'!H68,3)),IF(AND(BL53&lt;&gt;"",'Synthèse des émissions'!N68="Oui"),CONCATENATE(Déclaration!$CC$58,": ",ROUND('Synthèse des émissions'!L68,3)),"")),")"))))</f>
        <v/>
      </c>
      <c r="BW53" s="396" t="str">
        <f t="shared" si="14"/>
        <v xml:space="preserve"> bis</v>
      </c>
      <c r="BX53" s="425" t="str">
        <f>IF(AND('Synthèse des émissions'!M68="Oui",'Synthèse des émissions'!N68="Oui"),'Synthèse des émissions'!L68,"")</f>
        <v/>
      </c>
      <c r="BY53" s="425" t="str">
        <f>IF(AND('Synthèse des émissions'!M68="Oui",'Synthèse des émissions'!N68="Oui"),CONCATENATE(IF(BA54&lt;&gt;0,CONCATENATE(BA54,$CC$51),""),IF(BB54&lt;&gt;0,CONCATENATE(BB54,$CC$52),""),IF(BC54&lt;&gt;0,CONCATENATE(BC54,$CC$53),"")),"")</f>
        <v/>
      </c>
      <c r="BZ53" s="425" t="str">
        <f>IF(AND(BM53="",BN53="",BO53="",BP53="",BQ53="",BR53="",BL53="",BY53=""),"",IF(BY53="","",CONCATENATE("VLE ",'Synthèse des émissions'!C68," (",$CC$58,": ",ROUND('Synthèse des émissions'!L68,3),")")))</f>
        <v/>
      </c>
      <c r="CB53" s="425"/>
      <c r="CC53" s="425" t="s">
        <v>833</v>
      </c>
    </row>
    <row r="54" spans="1:81" s="396" customFormat="1" x14ac:dyDescent="0.35">
      <c r="A54" s="461">
        <v>36</v>
      </c>
      <c r="B54" s="406" t="str">
        <f t="shared" si="6"/>
        <v/>
      </c>
      <c r="C54" s="398" t="str">
        <f t="shared" si="19"/>
        <v/>
      </c>
      <c r="D54" s="398" t="str">
        <f t="shared" si="19"/>
        <v/>
      </c>
      <c r="E54" s="398" t="str">
        <f t="shared" si="19"/>
        <v/>
      </c>
      <c r="F54" s="398" t="str">
        <f t="shared" si="19"/>
        <v/>
      </c>
      <c r="G54" s="398" t="str">
        <f t="shared" si="19"/>
        <v/>
      </c>
      <c r="H54" s="398" t="str">
        <f t="shared" si="19"/>
        <v/>
      </c>
      <c r="I54" s="398" t="str">
        <f t="shared" si="19"/>
        <v/>
      </c>
      <c r="J54" s="398" t="str">
        <f t="shared" si="9"/>
        <v/>
      </c>
      <c r="K54" s="398" t="str">
        <f t="shared" si="9"/>
        <v/>
      </c>
      <c r="L54" s="458"/>
      <c r="M54" s="587"/>
      <c r="N54" s="424">
        <f t="shared" si="15"/>
        <v>10</v>
      </c>
      <c r="O54" s="412" t="e">
        <f>#N/A</f>
        <v>#N/A</v>
      </c>
      <c r="P54" s="412" t="e">
        <f>#N/A</f>
        <v>#N/A</v>
      </c>
      <c r="Q54" s="412" t="e">
        <f>#N/A</f>
        <v>#N/A</v>
      </c>
      <c r="R54" s="412" t="e">
        <f>#N/A</f>
        <v>#N/A</v>
      </c>
      <c r="S54" s="412" t="e">
        <f>#N/A</f>
        <v>#N/A</v>
      </c>
      <c r="T54" s="412" t="e">
        <f>#N/A</f>
        <v>#N/A</v>
      </c>
      <c r="U54" s="412" t="e">
        <f>#N/A</f>
        <v>#N/A</v>
      </c>
      <c r="V54" s="413" t="str">
        <f>IF(ISNUMBER(W54),"TSP",#N/A)</f>
        <v>TSP</v>
      </c>
      <c r="W54" s="413">
        <f>IF(X54="kg/an",'Synthèse des émissions'!$F$11,IF(ISNUMBER(X54),"TSP",#N/A))</f>
        <v>0</v>
      </c>
      <c r="X54" s="413" t="str">
        <f>IF($Y$74&lt;&gt;9,"kg/an",IF(Y54="kg/an",'Synthèse des émissions'!$F$11,#N/A))</f>
        <v>kg/an</v>
      </c>
      <c r="Y54" s="413" t="e">
        <f>IF($Y$74=9,"kg/an",#N/A)</f>
        <v>#N/A</v>
      </c>
      <c r="AM54" s="425">
        <f t="shared" si="10"/>
        <v>86</v>
      </c>
      <c r="AN54" s="425">
        <f t="shared" si="16"/>
        <v>9</v>
      </c>
      <c r="AO54" s="425" t="str">
        <f t="shared" si="17"/>
        <v/>
      </c>
      <c r="AP54" s="425">
        <f t="shared" si="18"/>
        <v>0</v>
      </c>
      <c r="AQ54" s="425">
        <f t="shared" si="11"/>
        <v>0</v>
      </c>
      <c r="AR54" s="425" t="str">
        <f t="shared" si="12"/>
        <v/>
      </c>
      <c r="AW54" s="425" t="str">
        <f t="shared" si="13"/>
        <v/>
      </c>
      <c r="AX54" s="426">
        <f>Exploitation!E23</f>
        <v>0</v>
      </c>
      <c r="AY54" s="427">
        <f>Exploitation!C23</f>
        <v>0</v>
      </c>
      <c r="AZ54" s="427">
        <f>Exploitation!D23</f>
        <v>0</v>
      </c>
      <c r="BA54" s="427">
        <f>Exploitation!G23+Exploitation!H23</f>
        <v>0</v>
      </c>
      <c r="BB54" s="427">
        <f>Exploitation!F23</f>
        <v>0</v>
      </c>
      <c r="BC54" s="427">
        <f>Exploitation!I23</f>
        <v>0</v>
      </c>
      <c r="BK54" s="425" t="str">
        <f>IF(Exploitation!B24="","",Exploitation!B24)</f>
        <v/>
      </c>
      <c r="BL54" s="426" t="str">
        <f>IF('Synthèse des émissions'!M69="Oui",'Synthèse des émissions'!F123,IF('Synthèse des émissions'!N69="Oui",'Synthèse des émissions'!J123,""))</f>
        <v/>
      </c>
      <c r="BM54" s="427" t="str">
        <f>IF('Synthèse des émissions'!$M69="Oui","",'Synthèse des émissions'!E123)</f>
        <v/>
      </c>
      <c r="BN54" s="427" t="str">
        <f>IF('Synthèse des émissions'!$M69="Oui","",'Synthèse des émissions'!C123)</f>
        <v/>
      </c>
      <c r="BO54" s="427" t="str">
        <f>IF('Synthèse des émissions'!$M69="Oui","",'Synthèse des émissions'!D123)</f>
        <v/>
      </c>
      <c r="BP54" s="427" t="str">
        <f>IF('Synthèse des émissions'!$N69="Oui","",'Synthèse des émissions'!H123)</f>
        <v/>
      </c>
      <c r="BQ54" s="427" t="str">
        <f>IF('Synthèse des émissions'!$N69="Oui","",'Synthèse des émissions'!G123)</f>
        <v/>
      </c>
      <c r="BR54" s="427" t="str">
        <f>IF('Synthèse des émissions'!$N69="Oui","",'Synthèse des émissions'!I123)</f>
        <v/>
      </c>
      <c r="BS54" s="425" t="str">
        <f>CONCATENATE(IF('Synthèse des émissions'!M69="Oui",CONCATENATE(IF(Déclaration!AX55&lt;&gt;0,CONCATENATE(Déclaration!AX55,Déclaration!$CC$45),""),IF(Déclaration!AY55&lt;&gt;0,CONCATENATE(Déclaration!AY55,Déclaration!$CC$46),""),IF(Déclaration!AZ55&lt;&gt;0,CONCATENATE(Déclaration!AZ55,Déclaration!$CC$47),"")),IF('Synthèse des émissions'!N69="Oui",CONCATENATE(IF(Déclaration!BA55&lt;&gt;0,CONCATENATE(Déclaration!BA55,Déclaration!$CC$51),""),IF(Déclaration!BB55&lt;&gt;0,CONCATENATE(Déclaration!BB55,Déclaration!$CC$52),""),IF(Déclaration!BC55&lt;&gt;0,CONCATENATE(Déclaration!BC55,Déclaration!$CC$53),"")),"")))</f>
        <v/>
      </c>
      <c r="BT54" s="428" t="str">
        <f>IF(BK54="","",IF(OR(BL54&lt;&gt;"",BM54&lt;&gt;"",BN54&lt;&gt;"",BO54&lt;&gt;"",BP54&lt;&gt;"",BQ54&lt;&gt;"",BR54&lt;&gt;""),CONCATENATE("VLE ",'Synthèse des émissions'!C69," (",IF(BM54="","",CONCATENATE($CC$48,'Synthèse des émissions'!G69,".")),IF(BN54="","",CONCATENATE(IF('Synthèse des émissions'!D69="",CONCATENATE($CC$49,": ",'Synthèse des émissions'!E69,"."),CONCATENATE($CC$49," sortant à ",'Synthèse des émissions'!D69," kg: ",ROUND('Synthèse des émissions'!E69,3),".")))),IF(BO54="","",CONCATENATE(CC$50,'Synthèse des émissions'!F69,".")),IF(BP54="","",CONCATENATE($CC$54,'Synthèse des émissions'!J69,".")),IF(BQ54="","",CONCATENATE($CC$55,'Synthèse des émissions'!I69,".")),IF(BR54="","",CONCATENATE($CC$56,'Synthèse des émissions'!K69,".")),CONCATENATE(IF(AND(BL54&lt;&gt;"",'Synthèse des émissions'!M69="Oui"),CONCATENATE(Déclaration!$CC$57,": ",ROUND('Synthèse des émissions'!H69,3)),IF(AND(BL54&lt;&gt;"",'Synthèse des émissions'!N69="Oui"),CONCATENATE(Déclaration!$CC$58,": ",ROUND('Synthèse des émissions'!L69,3)),"")),")"))))</f>
        <v/>
      </c>
      <c r="BW54" s="396" t="str">
        <f t="shared" si="14"/>
        <v xml:space="preserve"> bis</v>
      </c>
      <c r="BX54" s="425" t="str">
        <f>IF(AND('Synthèse des émissions'!M69="Oui",'Synthèse des émissions'!N69="Oui"),'Synthèse des émissions'!L69,"")</f>
        <v/>
      </c>
      <c r="BY54" s="425" t="str">
        <f>IF(AND('Synthèse des émissions'!M69="Oui",'Synthèse des émissions'!N69="Oui"),CONCATENATE(IF(BA55&lt;&gt;0,CONCATENATE(BA55,$CC$51),""),IF(BB55&lt;&gt;0,CONCATENATE(BB55,$CC$52),""),IF(BC55&lt;&gt;0,CONCATENATE(BC55,$CC$53),"")),"")</f>
        <v/>
      </c>
      <c r="BZ54" s="425" t="str">
        <f>IF(AND(BM54="",BN54="",BO54="",BP54="",BQ54="",BR54="",BL54="",BY54=""),"",IF(BY54="","",CONCATENATE("VLE ",'Synthèse des émissions'!C69," (",$CC$58,": ",ROUND('Synthèse des émissions'!L69,3),")")))</f>
        <v/>
      </c>
      <c r="CB54" s="425"/>
      <c r="CC54" s="425" t="s">
        <v>813</v>
      </c>
    </row>
    <row r="55" spans="1:81" s="396" customFormat="1" x14ac:dyDescent="0.35">
      <c r="A55" s="461">
        <v>37</v>
      </c>
      <c r="B55" s="406" t="str">
        <f t="shared" si="6"/>
        <v/>
      </c>
      <c r="C55" s="398" t="str">
        <f t="shared" si="19"/>
        <v/>
      </c>
      <c r="D55" s="398" t="str">
        <f t="shared" si="19"/>
        <v/>
      </c>
      <c r="E55" s="398" t="str">
        <f t="shared" si="19"/>
        <v/>
      </c>
      <c r="F55" s="398" t="str">
        <f t="shared" si="19"/>
        <v/>
      </c>
      <c r="G55" s="398" t="str">
        <f t="shared" si="19"/>
        <v/>
      </c>
      <c r="H55" s="398" t="str">
        <f t="shared" si="19"/>
        <v/>
      </c>
      <c r="I55" s="398" t="str">
        <f t="shared" si="19"/>
        <v/>
      </c>
      <c r="J55" s="398" t="str">
        <f t="shared" si="9"/>
        <v/>
      </c>
      <c r="K55" s="398" t="str">
        <f t="shared" si="9"/>
        <v/>
      </c>
      <c r="L55" s="458"/>
      <c r="M55" s="587"/>
      <c r="N55" s="424">
        <f t="shared" si="15"/>
        <v>11</v>
      </c>
      <c r="O55" s="412" t="e">
        <f>#N/A</f>
        <v>#N/A</v>
      </c>
      <c r="P55" s="412" t="s">
        <v>847</v>
      </c>
      <c r="Q55" s="412" t="e">
        <f>#N/A</f>
        <v>#N/A</v>
      </c>
      <c r="R55" s="412" t="e">
        <f>#N/A</f>
        <v>#N/A</v>
      </c>
      <c r="S55" s="412" t="e">
        <f>#N/A</f>
        <v>#N/A</v>
      </c>
      <c r="T55" s="412" t="e">
        <f>#N/A</f>
        <v>#N/A</v>
      </c>
      <c r="U55" s="412" t="e">
        <f>#N/A</f>
        <v>#N/A</v>
      </c>
      <c r="V55" s="413" t="str">
        <f>IF(ISNUMBER(W55),"PM10",#N/A)</f>
        <v>PM10</v>
      </c>
      <c r="W55" s="413">
        <f>IF(X55="kg/an",'Synthèse des émissions'!$G$11,IF(ISNUMBER(X55),"PM10",#N/A))</f>
        <v>0</v>
      </c>
      <c r="X55" s="413" t="str">
        <f>IF($Y$74&lt;&gt;9,"kg/an",IF(Y55="kg/an",'Synthèse des émissions'!$G$11,#N/A))</f>
        <v>kg/an</v>
      </c>
      <c r="Y55" s="413" t="e">
        <f>IF($Y$74=9,"kg/an",#N/A)</f>
        <v>#N/A</v>
      </c>
      <c r="AM55" s="425">
        <f t="shared" si="10"/>
        <v>87</v>
      </c>
      <c r="AN55" s="425">
        <f t="shared" si="16"/>
        <v>10</v>
      </c>
      <c r="AO55" s="425" t="str">
        <f t="shared" si="17"/>
        <v/>
      </c>
      <c r="AP55" s="425">
        <f t="shared" si="18"/>
        <v>0</v>
      </c>
      <c r="AQ55" s="425">
        <f t="shared" si="11"/>
        <v>0</v>
      </c>
      <c r="AR55" s="425" t="str">
        <f t="shared" si="12"/>
        <v/>
      </c>
      <c r="AW55" s="425" t="str">
        <f t="shared" si="13"/>
        <v/>
      </c>
      <c r="AX55" s="426">
        <f>Exploitation!E24</f>
        <v>0</v>
      </c>
      <c r="AY55" s="427">
        <f>Exploitation!C24</f>
        <v>0</v>
      </c>
      <c r="AZ55" s="427">
        <f>Exploitation!D24</f>
        <v>0</v>
      </c>
      <c r="BA55" s="427">
        <f>Exploitation!G24+Exploitation!H24</f>
        <v>0</v>
      </c>
      <c r="BB55" s="427">
        <f>Exploitation!F24</f>
        <v>0</v>
      </c>
      <c r="BC55" s="427">
        <f>Exploitation!I24</f>
        <v>0</v>
      </c>
      <c r="BK55" s="425" t="str">
        <f>IF(Exploitation!B25="","",Exploitation!B25)</f>
        <v/>
      </c>
      <c r="BL55" s="426" t="str">
        <f>IF('Synthèse des émissions'!M70="Oui",'Synthèse des émissions'!F124,IF('Synthèse des émissions'!N70="Oui",'Synthèse des émissions'!J124,""))</f>
        <v/>
      </c>
      <c r="BM55" s="427" t="str">
        <f>IF('Synthèse des émissions'!$M70="Oui","",'Synthèse des émissions'!E124)</f>
        <v/>
      </c>
      <c r="BN55" s="427" t="str">
        <f>IF('Synthèse des émissions'!$M70="Oui","",'Synthèse des émissions'!C124)</f>
        <v/>
      </c>
      <c r="BO55" s="427" t="str">
        <f>IF('Synthèse des émissions'!$M70="Oui","",'Synthèse des émissions'!D124)</f>
        <v/>
      </c>
      <c r="BP55" s="427" t="str">
        <f>IF('Synthèse des émissions'!$N70="Oui","",'Synthèse des émissions'!H124)</f>
        <v/>
      </c>
      <c r="BQ55" s="427" t="str">
        <f>IF('Synthèse des émissions'!$N70="Oui","",'Synthèse des émissions'!G124)</f>
        <v/>
      </c>
      <c r="BR55" s="427" t="str">
        <f>IF('Synthèse des émissions'!$N70="Oui","",'Synthèse des émissions'!I124)</f>
        <v/>
      </c>
      <c r="BS55" s="425" t="str">
        <f>CONCATENATE(IF('Synthèse des émissions'!M70="Oui",CONCATENATE(IF(Déclaration!AX56&lt;&gt;0,CONCATENATE(Déclaration!AX56,Déclaration!$CC$45),""),IF(Déclaration!AY56&lt;&gt;0,CONCATENATE(Déclaration!AY56,Déclaration!$CC$46),""),IF(Déclaration!AZ56&lt;&gt;0,CONCATENATE(Déclaration!AZ56,Déclaration!$CC$47),"")),IF('Synthèse des émissions'!N70="Oui",CONCATENATE(IF(Déclaration!BA56&lt;&gt;0,CONCATENATE(Déclaration!BA56,Déclaration!$CC$51),""),IF(Déclaration!BB56&lt;&gt;0,CONCATENATE(Déclaration!BB56,Déclaration!$CC$52),""),IF(Déclaration!BC56&lt;&gt;0,CONCATENATE(Déclaration!BC56,Déclaration!$CC$53),"")),"")))</f>
        <v/>
      </c>
      <c r="BT55" s="428" t="str">
        <f>IF(BK55="","",IF(OR(BL55&lt;&gt;"",BM55&lt;&gt;"",BN55&lt;&gt;"",BO55&lt;&gt;"",BP55&lt;&gt;"",BQ55&lt;&gt;"",BR55&lt;&gt;""),CONCATENATE("VLE ",'Synthèse des émissions'!C70," (",IF(BM55="","",CONCATENATE($CC$48,'Synthèse des émissions'!G70,".")),IF(BN55="","",CONCATENATE(IF('Synthèse des émissions'!D70="",CONCATENATE($CC$49,": ",'Synthèse des émissions'!E70,"."),CONCATENATE($CC$49," sortant à ",'Synthèse des émissions'!D70," kg: ",ROUND('Synthèse des émissions'!E70,3),".")))),IF(BO55="","",CONCATENATE(CC$50,'Synthèse des émissions'!F70,".")),IF(BP55="","",CONCATENATE($CC$54,'Synthèse des émissions'!J70,".")),IF(BQ55="","",CONCATENATE($CC$55,'Synthèse des émissions'!I70,".")),IF(BR55="","",CONCATENATE($CC$56,'Synthèse des émissions'!K70,".")),CONCATENATE(IF(AND(BL55&lt;&gt;"",'Synthèse des émissions'!M70="Oui"),CONCATENATE(Déclaration!$CC$57,": ",ROUND('Synthèse des émissions'!H70,3)),IF(AND(BL55&lt;&gt;"",'Synthèse des émissions'!N70="Oui"),CONCATENATE(Déclaration!$CC$58,": ",ROUND('Synthèse des émissions'!L70,3)),"")),")"))))</f>
        <v/>
      </c>
      <c r="BW55" s="396" t="str">
        <f t="shared" si="14"/>
        <v xml:space="preserve"> bis</v>
      </c>
      <c r="BX55" s="425" t="str">
        <f>IF(AND('Synthèse des émissions'!M70="Oui",'Synthèse des émissions'!N70="Oui"),'Synthèse des émissions'!L70,"")</f>
        <v/>
      </c>
      <c r="BY55" s="425" t="str">
        <f>IF(AND('Synthèse des émissions'!M70="Oui",'Synthèse des émissions'!N70="Oui"),CONCATENATE(IF(BA56&lt;&gt;0,CONCATENATE(BA56,$CC$51),""),IF(BB56&lt;&gt;0,CONCATENATE(BB56,$CC$52),""),IF(BC56&lt;&gt;0,CONCATENATE(BC56,$CC$53),"")),"")</f>
        <v/>
      </c>
      <c r="BZ55" s="425" t="str">
        <f>IF(AND(BM55="",BN55="",BO55="",BP55="",BQ55="",BR55="",BL55="",BY55=""),"",IF(BY55="","",CONCATENATE("VLE ",'Synthèse des émissions'!C70," (",$CC$58,": ",ROUND('Synthèse des émissions'!L70,3),")")))</f>
        <v/>
      </c>
      <c r="CB55" s="425"/>
      <c r="CC55" s="425" t="s">
        <v>816</v>
      </c>
    </row>
    <row r="56" spans="1:81" s="396" customFormat="1" x14ac:dyDescent="0.35">
      <c r="A56" s="461">
        <v>38</v>
      </c>
      <c r="B56" s="406" t="str">
        <f t="shared" si="6"/>
        <v/>
      </c>
      <c r="C56" s="398" t="str">
        <f t="shared" si="19"/>
        <v/>
      </c>
      <c r="D56" s="398" t="str">
        <f t="shared" si="19"/>
        <v/>
      </c>
      <c r="E56" s="398" t="str">
        <f t="shared" si="19"/>
        <v/>
      </c>
      <c r="F56" s="398" t="str">
        <f t="shared" si="19"/>
        <v/>
      </c>
      <c r="G56" s="398" t="str">
        <f t="shared" si="19"/>
        <v/>
      </c>
      <c r="H56" s="398" t="str">
        <f t="shared" si="19"/>
        <v/>
      </c>
      <c r="I56" s="398" t="str">
        <f t="shared" si="19"/>
        <v/>
      </c>
      <c r="J56" s="398" t="str">
        <f t="shared" si="9"/>
        <v/>
      </c>
      <c r="K56" s="398" t="str">
        <f t="shared" si="9"/>
        <v/>
      </c>
      <c r="L56" s="458"/>
      <c r="M56" s="587"/>
      <c r="N56" s="424">
        <f t="shared" si="15"/>
        <v>12</v>
      </c>
      <c r="O56" s="412" t="e">
        <f>#N/A</f>
        <v>#N/A</v>
      </c>
      <c r="P56" s="412" t="s">
        <v>837</v>
      </c>
      <c r="Q56" s="412" t="e">
        <f>#N/A</f>
        <v>#N/A</v>
      </c>
      <c r="R56" s="412" t="e">
        <f>#N/A</f>
        <v>#N/A</v>
      </c>
      <c r="S56" s="412" t="e">
        <f>#N/A</f>
        <v>#N/A</v>
      </c>
      <c r="T56" s="412" t="e">
        <f>#N/A</f>
        <v>#N/A</v>
      </c>
      <c r="U56" s="412" t="e">
        <f>#N/A</f>
        <v>#N/A</v>
      </c>
      <c r="V56" s="412" t="e">
        <f>#N/A</f>
        <v>#N/A</v>
      </c>
      <c r="W56" s="412" t="e">
        <f>#N/A</f>
        <v>#N/A</v>
      </c>
      <c r="X56" s="412" t="e">
        <f>#N/A</f>
        <v>#N/A</v>
      </c>
      <c r="Y56" s="412" t="e">
        <f>#N/A</f>
        <v>#N/A</v>
      </c>
      <c r="AC56" s="430"/>
      <c r="AD56" s="430"/>
      <c r="AE56" s="430"/>
      <c r="AF56" s="430"/>
      <c r="AG56" s="430"/>
      <c r="AH56" s="430"/>
      <c r="AM56" s="425">
        <f t="shared" si="10"/>
        <v>88</v>
      </c>
      <c r="AN56" s="425">
        <f t="shared" si="16"/>
        <v>11</v>
      </c>
      <c r="AO56" s="425" t="str">
        <f t="shared" si="17"/>
        <v/>
      </c>
      <c r="AP56" s="425">
        <f t="shared" si="18"/>
        <v>0</v>
      </c>
      <c r="AQ56" s="425">
        <f t="shared" si="11"/>
        <v>0</v>
      </c>
      <c r="AR56" s="425" t="str">
        <f t="shared" si="12"/>
        <v/>
      </c>
      <c r="AW56" s="425" t="str">
        <f t="shared" si="13"/>
        <v/>
      </c>
      <c r="AX56" s="426">
        <f>Exploitation!E25</f>
        <v>0</v>
      </c>
      <c r="AY56" s="427">
        <f>Exploitation!C25</f>
        <v>0</v>
      </c>
      <c r="AZ56" s="427">
        <f>Exploitation!D25</f>
        <v>0</v>
      </c>
      <c r="BA56" s="427">
        <f>Exploitation!G25+Exploitation!H25</f>
        <v>0</v>
      </c>
      <c r="BB56" s="427">
        <f>Exploitation!F25</f>
        <v>0</v>
      </c>
      <c r="BC56" s="427">
        <f>Exploitation!I25</f>
        <v>0</v>
      </c>
      <c r="BK56" s="425" t="str">
        <f>IF(Exploitation!B26="","",Exploitation!B26)</f>
        <v/>
      </c>
      <c r="BL56" s="426" t="str">
        <f>IF('Synthèse des émissions'!M71="Oui",'Synthèse des émissions'!F125,IF('Synthèse des émissions'!N71="Oui",'Synthèse des émissions'!J125,""))</f>
        <v/>
      </c>
      <c r="BM56" s="427" t="str">
        <f>IF('Synthèse des émissions'!$M71="Oui","",'Synthèse des émissions'!E125)</f>
        <v/>
      </c>
      <c r="BN56" s="427" t="str">
        <f>IF('Synthèse des émissions'!$M71="Oui","",'Synthèse des émissions'!C125)</f>
        <v/>
      </c>
      <c r="BO56" s="427" t="str">
        <f>IF('Synthèse des émissions'!$M71="Oui","",'Synthèse des émissions'!D125)</f>
        <v/>
      </c>
      <c r="BP56" s="427" t="str">
        <f>IF('Synthèse des émissions'!$N71="Oui","",'Synthèse des émissions'!H125)</f>
        <v/>
      </c>
      <c r="BQ56" s="427" t="str">
        <f>IF('Synthèse des émissions'!$N71="Oui","",'Synthèse des émissions'!G125)</f>
        <v/>
      </c>
      <c r="BR56" s="427" t="str">
        <f>IF('Synthèse des émissions'!$N71="Oui","",'Synthèse des émissions'!I125)</f>
        <v/>
      </c>
      <c r="BS56" s="425" t="str">
        <f>CONCATENATE(IF('Synthèse des émissions'!M71="Oui",CONCATENATE(IF(Déclaration!AX57&lt;&gt;0,CONCATENATE(Déclaration!AX57,Déclaration!$CC$45),""),IF(Déclaration!AY57&lt;&gt;0,CONCATENATE(Déclaration!AY57,Déclaration!$CC$46),""),IF(Déclaration!AZ57&lt;&gt;0,CONCATENATE(Déclaration!AZ57,Déclaration!$CC$47),"")),IF('Synthèse des émissions'!N71="Oui",CONCATENATE(IF(Déclaration!BA57&lt;&gt;0,CONCATENATE(Déclaration!BA57,Déclaration!$CC$51),""),IF(Déclaration!BB57&lt;&gt;0,CONCATENATE(Déclaration!BB57,Déclaration!$CC$52),""),IF(Déclaration!BC57&lt;&gt;0,CONCATENATE(Déclaration!BC57,Déclaration!$CC$53),"")),"")))</f>
        <v/>
      </c>
      <c r="BT56" s="428" t="str">
        <f>IF(BK56="","",IF(OR(BL56&lt;&gt;"",BM56&lt;&gt;"",BN56&lt;&gt;"",BO56&lt;&gt;"",BP56&lt;&gt;"",BQ56&lt;&gt;"",BR56&lt;&gt;""),CONCATENATE("VLE ",'Synthèse des émissions'!C71," (",IF(BM56="","",CONCATENATE($CC$48,'Synthèse des émissions'!G71,".")),IF(BN56="","",CONCATENATE(IF('Synthèse des émissions'!D71="",CONCATENATE($CC$49,": ",'Synthèse des émissions'!E71,"."),CONCATENATE($CC$49," sortant à ",'Synthèse des émissions'!D71," kg: ",ROUND('Synthèse des émissions'!E71,3),".")))),IF(BO56="","",CONCATENATE(CC$50,'Synthèse des émissions'!F71,".")),IF(BP56="","",CONCATENATE($CC$54,'Synthèse des émissions'!J71,".")),IF(BQ56="","",CONCATENATE($CC$55,'Synthèse des émissions'!I71,".")),IF(BR56="","",CONCATENATE($CC$56,'Synthèse des émissions'!K71,".")),CONCATENATE(IF(AND(BL56&lt;&gt;"",'Synthèse des émissions'!M71="Oui"),CONCATENATE(Déclaration!$CC$57,": ",ROUND('Synthèse des émissions'!H71,3)),IF(AND(BL56&lt;&gt;"",'Synthèse des émissions'!N71="Oui"),CONCATENATE(Déclaration!$CC$58,": ",ROUND('Synthèse des émissions'!L71,3)),"")),")"))))</f>
        <v/>
      </c>
      <c r="BW56" s="396" t="str">
        <f t="shared" si="14"/>
        <v xml:space="preserve"> bis</v>
      </c>
      <c r="BX56" s="425" t="str">
        <f>IF(AND('Synthèse des émissions'!M71="Oui",'Synthèse des émissions'!N71="Oui"),'Synthèse des émissions'!L71,"")</f>
        <v/>
      </c>
      <c r="BY56" s="425" t="str">
        <f>IF(AND('Synthèse des émissions'!M71="Oui",'Synthèse des émissions'!N71="Oui"),CONCATENATE(IF(BA57&lt;&gt;0,CONCATENATE(BA57,$CC$51),""),IF(BB57&lt;&gt;0,CONCATENATE(BB57,$CC$52),""),IF(BC57&lt;&gt;0,CONCATENATE(BC57,$CC$53),"")),"")</f>
        <v/>
      </c>
      <c r="BZ56" s="425" t="str">
        <f>IF(AND(BM56="",BN56="",BO56="",BP56="",BQ56="",BR56="",BL56="",BY56=""),"",IF(BY56="","",CONCATENATE("VLE ",'Synthèse des émissions'!C71," (",$CC$58,": ",ROUND('Synthèse des émissions'!L71,3),")")))</f>
        <v/>
      </c>
      <c r="CB56" s="425"/>
      <c r="CC56" s="425" t="s">
        <v>818</v>
      </c>
    </row>
    <row r="57" spans="1:81" s="396" customFormat="1" x14ac:dyDescent="0.35">
      <c r="A57" s="461">
        <v>39</v>
      </c>
      <c r="B57" s="406" t="str">
        <f t="shared" si="6"/>
        <v/>
      </c>
      <c r="C57" s="398" t="str">
        <f t="shared" si="19"/>
        <v/>
      </c>
      <c r="D57" s="398" t="str">
        <f t="shared" si="19"/>
        <v/>
      </c>
      <c r="E57" s="398" t="str">
        <f t="shared" si="19"/>
        <v/>
      </c>
      <c r="F57" s="398" t="str">
        <f t="shared" si="19"/>
        <v/>
      </c>
      <c r="G57" s="398" t="str">
        <f t="shared" si="19"/>
        <v/>
      </c>
      <c r="H57" s="398" t="str">
        <f t="shared" si="19"/>
        <v/>
      </c>
      <c r="I57" s="398" t="str">
        <f t="shared" si="19"/>
        <v/>
      </c>
      <c r="J57" s="398" t="str">
        <f t="shared" si="9"/>
        <v/>
      </c>
      <c r="K57" s="398" t="str">
        <f t="shared" si="9"/>
        <v/>
      </c>
      <c r="L57" s="458"/>
      <c r="M57" s="587"/>
      <c r="N57" s="424">
        <f t="shared" si="15"/>
        <v>13</v>
      </c>
      <c r="O57" s="412" t="e">
        <f>#N/A</f>
        <v>#N/A</v>
      </c>
      <c r="P57" s="412" t="s">
        <v>838</v>
      </c>
      <c r="Q57" s="412" t="e">
        <f>#N/A</f>
        <v>#N/A</v>
      </c>
      <c r="R57" s="412" t="e">
        <f>#N/A</f>
        <v>#N/A</v>
      </c>
      <c r="S57" s="412" t="e">
        <f>#N/A</f>
        <v>#N/A</v>
      </c>
      <c r="T57" s="412" t="e">
        <f>#N/A</f>
        <v>#N/A</v>
      </c>
      <c r="U57" s="412" t="e">
        <f>#N/A</f>
        <v>#N/A</v>
      </c>
      <c r="V57" s="412" t="e">
        <f>#N/A</f>
        <v>#N/A</v>
      </c>
      <c r="W57" s="412" t="e">
        <f>#N/A</f>
        <v>#N/A</v>
      </c>
      <c r="X57" s="413" t="str">
        <f>IF($Y$74&lt;&gt;9,"VALIDER",#N/A)</f>
        <v>VALIDER</v>
      </c>
      <c r="Y57" s="413" t="e">
        <f>IF($Y$74=9,"VALIDER",#N/A)</f>
        <v>#N/A</v>
      </c>
      <c r="AC57" s="430"/>
      <c r="AD57" s="430"/>
      <c r="AE57" s="430"/>
      <c r="AF57" s="430"/>
      <c r="AG57" s="430"/>
      <c r="AH57" s="430"/>
      <c r="AM57" s="425">
        <f t="shared" si="10"/>
        <v>89</v>
      </c>
      <c r="AN57" s="425">
        <f t="shared" si="16"/>
        <v>12</v>
      </c>
      <c r="AO57" s="425" t="str">
        <f t="shared" si="17"/>
        <v/>
      </c>
      <c r="AP57" s="425">
        <f t="shared" si="18"/>
        <v>0</v>
      </c>
      <c r="AQ57" s="425">
        <f t="shared" si="11"/>
        <v>0</v>
      </c>
      <c r="AR57" s="425" t="str">
        <f t="shared" si="12"/>
        <v/>
      </c>
      <c r="AW57" s="425" t="str">
        <f t="shared" si="13"/>
        <v/>
      </c>
      <c r="AX57" s="426">
        <f>Exploitation!E26</f>
        <v>0</v>
      </c>
      <c r="AY57" s="427">
        <f>Exploitation!C26</f>
        <v>0</v>
      </c>
      <c r="AZ57" s="427">
        <f>Exploitation!D26</f>
        <v>0</v>
      </c>
      <c r="BA57" s="427">
        <f>Exploitation!G26+Exploitation!H26</f>
        <v>0</v>
      </c>
      <c r="BB57" s="427">
        <f>Exploitation!F26</f>
        <v>0</v>
      </c>
      <c r="BC57" s="427">
        <f>Exploitation!I26</f>
        <v>0</v>
      </c>
      <c r="BK57" s="425" t="str">
        <f>IF(Exploitation!B27="","",Exploitation!B27)</f>
        <v/>
      </c>
      <c r="BL57" s="426" t="str">
        <f>IF('Synthèse des émissions'!M72="Oui",'Synthèse des émissions'!F126,IF('Synthèse des émissions'!N72="Oui",'Synthèse des émissions'!J126,""))</f>
        <v/>
      </c>
      <c r="BM57" s="427" t="str">
        <f>IF('Synthèse des émissions'!$M72="Oui","",'Synthèse des émissions'!E126)</f>
        <v/>
      </c>
      <c r="BN57" s="427" t="str">
        <f>IF('Synthèse des émissions'!$M72="Oui","",'Synthèse des émissions'!C126)</f>
        <v/>
      </c>
      <c r="BO57" s="427" t="str">
        <f>IF('Synthèse des émissions'!$M72="Oui","",'Synthèse des émissions'!D126)</f>
        <v/>
      </c>
      <c r="BP57" s="427" t="str">
        <f>IF('Synthèse des émissions'!$N72="Oui","",'Synthèse des émissions'!H126)</f>
        <v/>
      </c>
      <c r="BQ57" s="427" t="str">
        <f>IF('Synthèse des émissions'!$N72="Oui","",'Synthèse des émissions'!G126)</f>
        <v/>
      </c>
      <c r="BR57" s="427" t="str">
        <f>IF('Synthèse des émissions'!$N72="Oui","",'Synthèse des émissions'!I126)</f>
        <v/>
      </c>
      <c r="BS57" s="425" t="str">
        <f>CONCATENATE(IF('Synthèse des émissions'!M72="Oui",CONCATENATE(IF(Déclaration!AX58&lt;&gt;0,CONCATENATE(Déclaration!AX58,Déclaration!$CC$45),""),IF(Déclaration!AY58&lt;&gt;0,CONCATENATE(Déclaration!AY58,Déclaration!$CC$46),""),IF(Déclaration!AZ58&lt;&gt;0,CONCATENATE(Déclaration!AZ58,Déclaration!$CC$47),"")),IF('Synthèse des émissions'!N72="Oui",CONCATENATE(IF(Déclaration!BA58&lt;&gt;0,CONCATENATE(Déclaration!BA58,Déclaration!$CC$51),""),IF(Déclaration!BB58&lt;&gt;0,CONCATENATE(Déclaration!BB58,Déclaration!$CC$52),""),IF(Déclaration!BC58&lt;&gt;0,CONCATENATE(Déclaration!BC58,Déclaration!$CC$53),"")),"")))</f>
        <v/>
      </c>
      <c r="BT57" s="428" t="str">
        <f>IF(BK57="","",IF(OR(BL57&lt;&gt;"",BM57&lt;&gt;"",BN57&lt;&gt;"",BO57&lt;&gt;"",BP57&lt;&gt;"",BQ57&lt;&gt;"",BR57&lt;&gt;""),CONCATENATE("VLE ",'Synthèse des émissions'!C72," (",IF(BM57="","",CONCATENATE($CC$48,'Synthèse des émissions'!G72,".")),IF(BN57="","",CONCATENATE(IF('Synthèse des émissions'!D72="",CONCATENATE($CC$49,": ",'Synthèse des émissions'!E72,"."),CONCATENATE($CC$49," sortant à ",'Synthèse des émissions'!D72," kg: ",ROUND('Synthèse des émissions'!E72,3),".")))),IF(BO57="","",CONCATENATE(CC$50,'Synthèse des émissions'!F72,".")),IF(BP57="","",CONCATENATE($CC$54,'Synthèse des émissions'!J72,".")),IF(BQ57="","",CONCATENATE($CC$55,'Synthèse des émissions'!I72,".")),IF(BR57="","",CONCATENATE($CC$56,'Synthèse des émissions'!K72,".")),CONCATENATE(IF(AND(BL57&lt;&gt;"",'Synthèse des émissions'!M72="Oui"),CONCATENATE(Déclaration!$CC$57,": ",ROUND('Synthèse des émissions'!H72,3)),IF(AND(BL57&lt;&gt;"",'Synthèse des émissions'!N72="Oui"),CONCATENATE(Déclaration!$CC$58,": ",ROUND('Synthèse des émissions'!L72,3)),"")),")"))))</f>
        <v/>
      </c>
      <c r="BW57" s="396" t="str">
        <f t="shared" si="14"/>
        <v xml:space="preserve"> bis</v>
      </c>
      <c r="BX57" s="425" t="str">
        <f>IF(AND('Synthèse des émissions'!M72="Oui",'Synthèse des émissions'!N72="Oui"),'Synthèse des émissions'!L72,"")</f>
        <v/>
      </c>
      <c r="BY57" s="425" t="str">
        <f>IF(AND('Synthèse des émissions'!M72="Oui",'Synthèse des émissions'!N72="Oui"),CONCATENATE(IF(BA58&lt;&gt;0,CONCATENATE(BA58,$CC$51),""),IF(BB58&lt;&gt;0,CONCATENATE(BB58,$CC$52),""),IF(BC58&lt;&gt;0,CONCATENATE(BC58,$CC$53),"")),"")</f>
        <v/>
      </c>
      <c r="BZ57" s="425" t="str">
        <f>IF(AND(BM57="",BN57="",BO57="",BP57="",BQ57="",BR57="",BL57="",BY57=""),"",IF(BY57="","",CONCATENATE("VLE ",'Synthèse des émissions'!C72," (",$CC$58,": ",ROUND('Synthèse des émissions'!L72,3),")")))</f>
        <v/>
      </c>
      <c r="CB57" s="425"/>
      <c r="CC57" s="425" t="s">
        <v>834</v>
      </c>
    </row>
    <row r="58" spans="1:81" s="396" customFormat="1" x14ac:dyDescent="0.35">
      <c r="A58" s="461">
        <v>40</v>
      </c>
      <c r="B58" s="406" t="str">
        <f t="shared" si="6"/>
        <v/>
      </c>
      <c r="C58" s="398" t="str">
        <f t="shared" si="19"/>
        <v/>
      </c>
      <c r="D58" s="398" t="str">
        <f t="shared" si="19"/>
        <v/>
      </c>
      <c r="E58" s="398" t="str">
        <f t="shared" si="19"/>
        <v/>
      </c>
      <c r="F58" s="398" t="str">
        <f t="shared" si="19"/>
        <v/>
      </c>
      <c r="G58" s="398" t="str">
        <f t="shared" si="19"/>
        <v/>
      </c>
      <c r="H58" s="398" t="str">
        <f t="shared" si="19"/>
        <v/>
      </c>
      <c r="I58" s="398" t="str">
        <f t="shared" si="19"/>
        <v/>
      </c>
      <c r="J58" s="398" t="str">
        <f t="shared" si="9"/>
        <v/>
      </c>
      <c r="K58" s="398" t="str">
        <f t="shared" si="9"/>
        <v/>
      </c>
      <c r="L58" s="458"/>
      <c r="M58" s="587"/>
      <c r="N58" s="424">
        <f t="shared" si="15"/>
        <v>14</v>
      </c>
      <c r="O58" s="412"/>
      <c r="P58" s="412" t="s">
        <v>839</v>
      </c>
      <c r="Q58" s="412"/>
      <c r="R58" s="412"/>
      <c r="S58" s="412"/>
      <c r="T58" s="412"/>
      <c r="U58" s="412"/>
      <c r="V58" s="412"/>
      <c r="W58" s="412"/>
      <c r="X58" s="412"/>
      <c r="Y58" s="412"/>
      <c r="AM58" s="425">
        <f t="shared" si="10"/>
        <v>90</v>
      </c>
      <c r="AN58" s="425">
        <f t="shared" ref="AN58:AN65" si="20">AN57+AP57+1</f>
        <v>13</v>
      </c>
      <c r="AO58" s="425" t="str">
        <f t="shared" si="17"/>
        <v/>
      </c>
      <c r="AP58" s="425">
        <f>IF(BX57="",0,1)</f>
        <v>0</v>
      </c>
      <c r="AQ58" s="425">
        <f t="shared" ref="AQ58:AQ65" si="21">IF(AP58=0,0,AN58+1)</f>
        <v>0</v>
      </c>
      <c r="AR58" s="425" t="str">
        <f>IF(AP58=0,"",BW57)</f>
        <v/>
      </c>
      <c r="AW58" s="425" t="str">
        <f>BK57</f>
        <v/>
      </c>
      <c r="AX58" s="426">
        <f>Exploitation!E27</f>
        <v>0</v>
      </c>
      <c r="AY58" s="427">
        <f>Exploitation!C27</f>
        <v>0</v>
      </c>
      <c r="AZ58" s="427">
        <f>Exploitation!D27</f>
        <v>0</v>
      </c>
      <c r="BA58" s="427">
        <f>Exploitation!G27+Exploitation!H27</f>
        <v>0</v>
      </c>
      <c r="BB58" s="427">
        <f>Exploitation!F27</f>
        <v>0</v>
      </c>
      <c r="BC58" s="427">
        <f>Exploitation!I27</f>
        <v>0</v>
      </c>
      <c r="BK58" s="425" t="str">
        <f>IF(Exploitation!B28="","",Exploitation!B28)</f>
        <v/>
      </c>
      <c r="BL58" s="426" t="str">
        <f>IF('Synthèse des émissions'!M73="Oui",'Synthèse des émissions'!F127,IF('Synthèse des émissions'!N73="Oui",'Synthèse des émissions'!J127,""))</f>
        <v/>
      </c>
      <c r="BM58" s="427" t="str">
        <f>IF('Synthèse des émissions'!$M73="Oui","",'Synthèse des émissions'!E127)</f>
        <v/>
      </c>
      <c r="BN58" s="427" t="str">
        <f>IF('Synthèse des émissions'!$M73="Oui","",'Synthèse des émissions'!C127)</f>
        <v/>
      </c>
      <c r="BO58" s="427" t="str">
        <f>IF('Synthèse des émissions'!$M73="Oui","",'Synthèse des émissions'!D127)</f>
        <v/>
      </c>
      <c r="BP58" s="427" t="str">
        <f>IF('Synthèse des émissions'!$N73="Oui","",'Synthèse des émissions'!H127)</f>
        <v/>
      </c>
      <c r="BQ58" s="427" t="str">
        <f>IF('Synthèse des émissions'!$N73="Oui","",'Synthèse des émissions'!G127)</f>
        <v/>
      </c>
      <c r="BR58" s="427" t="str">
        <f>IF('Synthèse des émissions'!$N73="Oui","",'Synthèse des émissions'!I127)</f>
        <v/>
      </c>
      <c r="BS58" s="425" t="str">
        <f>CONCATENATE(IF('Synthèse des émissions'!M73="Oui",CONCATENATE(IF(Déclaration!AX59&lt;&gt;0,CONCATENATE(Déclaration!AX59,Déclaration!$CC$45),""),IF(Déclaration!AY59&lt;&gt;0,CONCATENATE(Déclaration!AY59,Déclaration!$CC$46),""),IF(Déclaration!AZ59&lt;&gt;0,CONCATENATE(Déclaration!AZ59,Déclaration!$CC$47),"")),IF('Synthèse des émissions'!N73="Oui",CONCATENATE(IF(Déclaration!BA59&lt;&gt;0,CONCATENATE(Déclaration!BA59,Déclaration!$CC$51),""),IF(Déclaration!BB59&lt;&gt;0,CONCATENATE(Déclaration!BB59,Déclaration!$CC$52),""),IF(Déclaration!BC59&lt;&gt;0,CONCATENATE(Déclaration!BC59,Déclaration!$CC$53),"")),"")))</f>
        <v/>
      </c>
      <c r="BT58" s="428" t="str">
        <f>IF(BK58="","",IF(OR(BL58&lt;&gt;"",BM58&lt;&gt;"",BN58&lt;&gt;"",BO58&lt;&gt;"",BP58&lt;&gt;"",BQ58&lt;&gt;"",BR58&lt;&gt;""),CONCATENATE("VLE ",'Synthèse des émissions'!C73," (",IF(BM58="","",CONCATENATE($CC$48,'Synthèse des émissions'!G73,".")),IF(BN58="","",CONCATENATE(IF('Synthèse des émissions'!D73="",CONCATENATE($CC$49,": ",'Synthèse des émissions'!E73,"."),CONCATENATE($CC$49," sortant à ",'Synthèse des émissions'!D73," kg: ",ROUND('Synthèse des émissions'!E73,3),".")))),IF(BO58="","",CONCATENATE(CC$50,'Synthèse des émissions'!F73,".")),IF(BP58="","",CONCATENATE($CC$54,'Synthèse des émissions'!J73,".")),IF(BQ58="","",CONCATENATE($CC$55,'Synthèse des émissions'!I73,".")),IF(BR58="","",CONCATENATE($CC$56,'Synthèse des émissions'!K73,".")),CONCATENATE(IF(AND(BL58&lt;&gt;"",'Synthèse des émissions'!M73="Oui"),CONCATENATE(Déclaration!$CC$57,": ",ROUND('Synthèse des émissions'!H73,3)),IF(AND(BL58&lt;&gt;"",'Synthèse des émissions'!N73="Oui"),CONCATENATE(Déclaration!$CC$58,": ",ROUND('Synthèse des émissions'!L73,3)),"")),")"))))</f>
        <v/>
      </c>
      <c r="BW58" s="396" t="str">
        <f t="shared" si="14"/>
        <v xml:space="preserve"> bis</v>
      </c>
      <c r="BX58" s="425" t="str">
        <f>IF(AND('Synthèse des émissions'!M73="Oui",'Synthèse des émissions'!N73="Oui"),'Synthèse des émissions'!L73,"")</f>
        <v/>
      </c>
      <c r="BY58" s="425" t="str">
        <f>IF(AND('Synthèse des émissions'!M73="Oui",'Synthèse des émissions'!N73="Oui"),CONCATENATE(IF(BA59&lt;&gt;0,CONCATENATE(BA59,$CC$51),""),IF(BB59&lt;&gt;0,CONCATENATE(BB59,$CC$52),""),IF(BC59&lt;&gt;0,CONCATENATE(BC59,$CC$53),"")),"")</f>
        <v/>
      </c>
      <c r="BZ58" s="425" t="str">
        <f>IF(AND(BM58="",BN58="",BO58="",BP58="",BQ58="",BR58="",BL58="",BY58=""),"",IF(BY58="","",CONCATENATE("VLE ",'Synthèse des émissions'!C73," (",$CC$58,": ",ROUND('Synthèse des émissions'!L73,3),")")))</f>
        <v/>
      </c>
      <c r="CB58" s="425"/>
      <c r="CC58" s="425" t="s">
        <v>835</v>
      </c>
    </row>
    <row r="59" spans="1:81" s="396" customFormat="1" x14ac:dyDescent="0.35">
      <c r="A59" s="461">
        <v>41</v>
      </c>
      <c r="B59" s="406" t="str">
        <f t="shared" si="6"/>
        <v/>
      </c>
      <c r="C59" s="398"/>
      <c r="D59" s="398"/>
      <c r="E59" s="398"/>
      <c r="F59" s="398"/>
      <c r="G59" s="398"/>
      <c r="H59" s="398"/>
      <c r="I59" s="398"/>
      <c r="J59" s="398"/>
      <c r="K59" s="398"/>
      <c r="L59" s="458"/>
      <c r="M59" s="587"/>
      <c r="N59" s="424">
        <f t="shared" si="15"/>
        <v>15</v>
      </c>
      <c r="O59" s="412"/>
      <c r="P59" s="412" t="s">
        <v>840</v>
      </c>
      <c r="Q59" s="412"/>
      <c r="R59" s="412"/>
      <c r="S59" s="412"/>
      <c r="T59" s="412"/>
      <c r="U59" s="412"/>
      <c r="V59" s="412"/>
      <c r="W59" s="412"/>
      <c r="X59" s="412"/>
      <c r="Y59" s="412"/>
      <c r="AM59" s="425">
        <f t="shared" si="10"/>
        <v>91</v>
      </c>
      <c r="AN59" s="425">
        <f t="shared" si="20"/>
        <v>14</v>
      </c>
      <c r="AO59" s="425" t="str">
        <f t="shared" si="17"/>
        <v/>
      </c>
      <c r="AP59" s="425">
        <f t="shared" ref="AP59:AP65" si="22">IF(BX68="",0,1)</f>
        <v>0</v>
      </c>
      <c r="AQ59" s="425">
        <f t="shared" si="21"/>
        <v>0</v>
      </c>
      <c r="AR59" s="425" t="str">
        <f t="shared" ref="AR59:AR65" si="23">IF(AP59=0,"",BW68)</f>
        <v/>
      </c>
      <c r="AW59" s="425">
        <f t="shared" ref="AW59:AW65" si="24">BK68</f>
        <v>0</v>
      </c>
      <c r="AX59" s="426">
        <f>Exploitation!E28</f>
        <v>0</v>
      </c>
      <c r="AY59" s="427">
        <f>Exploitation!C28</f>
        <v>0</v>
      </c>
      <c r="AZ59" s="427">
        <f>Exploitation!D28</f>
        <v>0</v>
      </c>
      <c r="BA59" s="427">
        <f>Exploitation!G28+Exploitation!H28</f>
        <v>0</v>
      </c>
      <c r="BB59" s="427">
        <f>Exploitation!F28</f>
        <v>0</v>
      </c>
      <c r="BC59" s="427">
        <f>Exploitation!I28</f>
        <v>0</v>
      </c>
      <c r="BK59" s="425" t="str">
        <f>IF(Exploitation!B29="","",Exploitation!B29)</f>
        <v/>
      </c>
      <c r="BL59" s="426" t="str">
        <f>IF('Synthèse des émissions'!M74="Oui",'Synthèse des émissions'!F128,IF('Synthèse des émissions'!N74="Oui",'Synthèse des émissions'!J128,""))</f>
        <v/>
      </c>
      <c r="BM59" s="427" t="str">
        <f>IF('Synthèse des émissions'!$M74="Oui","",'Synthèse des émissions'!E128)</f>
        <v/>
      </c>
      <c r="BN59" s="427" t="str">
        <f>IF('Synthèse des émissions'!$M74="Oui","",'Synthèse des émissions'!C128)</f>
        <v/>
      </c>
      <c r="BO59" s="427" t="str">
        <f>IF('Synthèse des émissions'!$M74="Oui","",'Synthèse des émissions'!D128)</f>
        <v/>
      </c>
      <c r="BP59" s="427" t="str">
        <f>IF('Synthèse des émissions'!$N74="Oui","",'Synthèse des émissions'!H128)</f>
        <v/>
      </c>
      <c r="BQ59" s="427" t="str">
        <f>IF('Synthèse des émissions'!$N74="Oui","",'Synthèse des émissions'!G128)</f>
        <v/>
      </c>
      <c r="BR59" s="427" t="str">
        <f>IF('Synthèse des émissions'!$N74="Oui","",'Synthèse des émissions'!I128)</f>
        <v/>
      </c>
      <c r="BS59" s="425" t="str">
        <f>CONCATENATE(IF('Synthèse des émissions'!M74="Oui",CONCATENATE(IF(Déclaration!AX60&lt;&gt;0,CONCATENATE(Déclaration!AX60,Déclaration!$CC$45),""),IF(Déclaration!AY60&lt;&gt;0,CONCATENATE(Déclaration!AY60,Déclaration!$CC$46),""),IF(Déclaration!AZ60&lt;&gt;0,CONCATENATE(Déclaration!AZ60,Déclaration!$CC$47),"")),IF('Synthèse des émissions'!N74="Oui",CONCATENATE(IF(Déclaration!BA60&lt;&gt;0,CONCATENATE(Déclaration!BA60,Déclaration!$CC$51),""),IF(Déclaration!BB60&lt;&gt;0,CONCATENATE(Déclaration!BB60,Déclaration!$CC$52),""),IF(Déclaration!BC60&lt;&gt;0,CONCATENATE(Déclaration!BC60,Déclaration!$CC$53),"")),"")))</f>
        <v/>
      </c>
      <c r="BT59" s="428" t="str">
        <f>IF(BK59="","",IF(OR(BL59&lt;&gt;"",BM59&lt;&gt;"",BN59&lt;&gt;"",BO59&lt;&gt;"",BP59&lt;&gt;"",BQ59&lt;&gt;"",BR59&lt;&gt;""),CONCATENATE("VLE ",'Synthèse des émissions'!C74," (",IF(BM59="","",CONCATENATE($CC$48,'Synthèse des émissions'!G74,".")),IF(BN59="","",CONCATENATE(IF('Synthèse des émissions'!D74="",CONCATENATE($CC$49,": ",'Synthèse des émissions'!E74,"."),CONCATENATE($CC$49," sortant à ",'Synthèse des émissions'!D74," kg: ",ROUND('Synthèse des émissions'!E74,3),".")))),IF(BO59="","",CONCATENATE(CC$50,'Synthèse des émissions'!F74,".")),IF(BP59="","",CONCATENATE($CC$54,'Synthèse des émissions'!J74,".")),IF(BQ59="","",CONCATENATE($CC$55,'Synthèse des émissions'!I74,".")),IF(BR59="","",CONCATENATE($CC$56,'Synthèse des émissions'!K74,".")),CONCATENATE(IF(AND(BL59&lt;&gt;"",'Synthèse des émissions'!M74="Oui"),CONCATENATE(Déclaration!$CC$57,": ",ROUND('Synthèse des émissions'!H74,3)),IF(AND(BL59&lt;&gt;"",'Synthèse des émissions'!N74="Oui"),CONCATENATE(Déclaration!$CC$58,": ",ROUND('Synthèse des émissions'!L74,3)),"")),")"))))</f>
        <v/>
      </c>
      <c r="BW59" s="396" t="str">
        <f t="shared" si="14"/>
        <v xml:space="preserve"> bis</v>
      </c>
      <c r="BX59" s="425" t="str">
        <f>IF(AND('Synthèse des émissions'!M74="Oui",'Synthèse des émissions'!N74="Oui"),'Synthèse des émissions'!L74,"")</f>
        <v/>
      </c>
      <c r="BY59" s="425" t="str">
        <f>IF(AND('Synthèse des émissions'!M74="Oui",'Synthèse des émissions'!N74="Oui"),CONCATENATE(IF(BA60&lt;&gt;0,CONCATENATE(BA60,$CC$51),""),IF(BB60&lt;&gt;0,CONCATENATE(BB60,$CC$52),""),IF(BC60&lt;&gt;0,CONCATENATE(BC60,$CC$53),"")),"")</f>
        <v/>
      </c>
      <c r="BZ59" s="425" t="str">
        <f>IF(AND(BM59="",BN59="",BO59="",BP59="",BQ59="",BR59="",BL59="",BY59=""),"",IF(BY59="","",CONCATENATE("VLE ",'Synthèse des émissions'!C74," (",$CC$58,": ",ROUND('Synthèse des émissions'!L74,3),")")))</f>
        <v/>
      </c>
      <c r="CB59" s="457"/>
      <c r="CC59" s="457"/>
    </row>
    <row r="60" spans="1:81" s="396" customFormat="1" x14ac:dyDescent="0.35">
      <c r="A60" s="461">
        <v>42</v>
      </c>
      <c r="B60" s="406" t="str">
        <f t="shared" si="6"/>
        <v/>
      </c>
      <c r="C60" s="398"/>
      <c r="D60" s="398"/>
      <c r="E60" s="398"/>
      <c r="F60" s="398"/>
      <c r="G60" s="398"/>
      <c r="H60" s="398"/>
      <c r="I60" s="398"/>
      <c r="J60" s="398"/>
      <c r="K60" s="398"/>
      <c r="L60" s="458"/>
      <c r="M60" s="587"/>
      <c r="N60" s="424">
        <f t="shared" si="15"/>
        <v>16</v>
      </c>
      <c r="O60" s="412"/>
      <c r="P60" s="412" t="s">
        <v>841</v>
      </c>
      <c r="Q60" s="412"/>
      <c r="R60" s="412"/>
      <c r="S60" s="412"/>
      <c r="T60" s="412"/>
      <c r="U60" s="412"/>
      <c r="V60" s="412"/>
      <c r="W60" s="412"/>
      <c r="X60" s="412"/>
      <c r="Y60" s="412"/>
      <c r="AM60" s="425">
        <f t="shared" si="10"/>
        <v>92</v>
      </c>
      <c r="AN60" s="425">
        <f t="shared" si="20"/>
        <v>15</v>
      </c>
      <c r="AO60" s="425" t="str">
        <f t="shared" si="17"/>
        <v/>
      </c>
      <c r="AP60" s="425">
        <f t="shared" si="22"/>
        <v>0</v>
      </c>
      <c r="AQ60" s="425">
        <f t="shared" si="21"/>
        <v>0</v>
      </c>
      <c r="AR60" s="425" t="str">
        <f t="shared" si="23"/>
        <v/>
      </c>
      <c r="AW60" s="425">
        <f t="shared" si="24"/>
        <v>0</v>
      </c>
      <c r="AX60" s="426">
        <f>Exploitation!E29</f>
        <v>0</v>
      </c>
      <c r="AY60" s="427">
        <f>Exploitation!C29</f>
        <v>0</v>
      </c>
      <c r="AZ60" s="427">
        <f>Exploitation!D29</f>
        <v>0</v>
      </c>
      <c r="BA60" s="427">
        <f>Exploitation!G29+Exploitation!H29</f>
        <v>0</v>
      </c>
      <c r="BB60" s="427">
        <f>Exploitation!F29</f>
        <v>0</v>
      </c>
      <c r="BC60" s="427">
        <f>Exploitation!I29</f>
        <v>0</v>
      </c>
      <c r="BK60" s="425" t="str">
        <f>IF(Exploitation!B30="","",Exploitation!B30)</f>
        <v/>
      </c>
      <c r="BL60" s="426" t="str">
        <f>IF('Synthèse des émissions'!M75="Oui",'Synthèse des émissions'!F129,IF('Synthèse des émissions'!N75="Oui",'Synthèse des émissions'!J129,""))</f>
        <v/>
      </c>
      <c r="BM60" s="427" t="str">
        <f>IF('Synthèse des émissions'!$M75="Oui","",'Synthèse des émissions'!E129)</f>
        <v/>
      </c>
      <c r="BN60" s="427" t="str">
        <f>IF('Synthèse des émissions'!$M75="Oui","",'Synthèse des émissions'!C129)</f>
        <v/>
      </c>
      <c r="BO60" s="427" t="str">
        <f>IF('Synthèse des émissions'!$M75="Oui","",'Synthèse des émissions'!D129)</f>
        <v/>
      </c>
      <c r="BP60" s="427" t="str">
        <f>IF('Synthèse des émissions'!$N75="Oui","",'Synthèse des émissions'!H129)</f>
        <v/>
      </c>
      <c r="BQ60" s="427" t="str">
        <f>IF('Synthèse des émissions'!$N75="Oui","",'Synthèse des émissions'!G129)</f>
        <v/>
      </c>
      <c r="BR60" s="427" t="str">
        <f>IF('Synthèse des émissions'!$N75="Oui","",'Synthèse des émissions'!I129)</f>
        <v/>
      </c>
      <c r="BS60" s="425" t="str">
        <f>CONCATENATE(IF('Synthèse des émissions'!M75="Oui",CONCATENATE(IF(Déclaration!AX61&lt;&gt;0,CONCATENATE(Déclaration!AX61,Déclaration!$CC$45),""),IF(Déclaration!AY61&lt;&gt;0,CONCATENATE(Déclaration!AY61,Déclaration!$CC$46),""),IF(Déclaration!AZ61&lt;&gt;0,CONCATENATE(Déclaration!AZ61,Déclaration!$CC$47),"")),IF('Synthèse des émissions'!N75="Oui",CONCATENATE(IF(Déclaration!BA61&lt;&gt;0,CONCATENATE(Déclaration!BA61,Déclaration!$CC$51),""),IF(Déclaration!BB61&lt;&gt;0,CONCATENATE(Déclaration!BB61,Déclaration!$CC$52),""),IF(Déclaration!BC61&lt;&gt;0,CONCATENATE(Déclaration!BC61,Déclaration!$CC$53),"")),"")))</f>
        <v/>
      </c>
      <c r="BT60" s="428" t="str">
        <f>IF(BK60="","",IF(OR(BL60&lt;&gt;"",BM60&lt;&gt;"",BN60&lt;&gt;"",BO60&lt;&gt;"",BP60&lt;&gt;"",BQ60&lt;&gt;"",BR60&lt;&gt;""),CONCATENATE("VLE ",'Synthèse des émissions'!C75," (",IF(BM60="","",CONCATENATE($CC$48,'Synthèse des émissions'!G75,".")),IF(BN60="","",CONCATENATE(IF('Synthèse des émissions'!D75="",CONCATENATE($CC$49,": ",'Synthèse des émissions'!E75,"."),CONCATENATE($CC$49," sortant à ",'Synthèse des émissions'!D75," kg: ",ROUND('Synthèse des émissions'!E75,3),".")))),IF(BO60="","",CONCATENATE(CC$50,'Synthèse des émissions'!F75,".")),IF(BP60="","",CONCATENATE($CC$54,'Synthèse des émissions'!J75,".")),IF(BQ60="","",CONCATENATE($CC$55,'Synthèse des émissions'!I75,".")),IF(BR60="","",CONCATENATE($CC$56,'Synthèse des émissions'!K75,".")),CONCATENATE(IF(AND(BL60&lt;&gt;"",'Synthèse des émissions'!M75="Oui"),CONCATENATE(Déclaration!$CC$57,": ",ROUND('Synthèse des émissions'!H75,3)),IF(AND(BL60&lt;&gt;"",'Synthèse des émissions'!N75="Oui"),CONCATENATE(Déclaration!$CC$58,": ",ROUND('Synthèse des émissions'!L75,3)),"")),")"))))</f>
        <v/>
      </c>
      <c r="BW60" s="396" t="str">
        <f t="shared" si="14"/>
        <v xml:space="preserve"> bis</v>
      </c>
      <c r="BX60" s="425" t="str">
        <f>IF(AND('Synthèse des émissions'!M75="Oui",'Synthèse des émissions'!N75="Oui"),'Synthèse des émissions'!L75,"")</f>
        <v/>
      </c>
      <c r="BY60" s="425" t="str">
        <f>IF(AND('Synthèse des émissions'!M75="Oui",'Synthèse des émissions'!N75="Oui"),CONCATENATE(IF(BA61&lt;&gt;0,CONCATENATE(BA61,$CC$51),""),IF(BB61&lt;&gt;0,CONCATENATE(BB61,$CC$52),""),IF(BC61&lt;&gt;0,CONCATENATE(BC61,$CC$53),"")),"")</f>
        <v/>
      </c>
      <c r="BZ60" s="425" t="str">
        <f>IF(AND(BM60="",BN60="",BO60="",BP60="",BQ60="",BR60="",BL60="",BY60=""),"",IF(BY60="","",CONCATENATE("VLE ",'Synthèse des émissions'!C75," (",$CC$58,": ",ROUND('Synthèse des émissions'!L75,3),")")))</f>
        <v/>
      </c>
      <c r="CB60" s="457"/>
      <c r="CC60" s="457"/>
    </row>
    <row r="61" spans="1:81" s="396" customFormat="1" x14ac:dyDescent="0.35">
      <c r="A61" s="461">
        <v>43</v>
      </c>
      <c r="B61" s="406" t="str">
        <f t="shared" si="6"/>
        <v/>
      </c>
      <c r="C61" s="398"/>
      <c r="D61" s="398"/>
      <c r="E61" s="398"/>
      <c r="F61" s="398"/>
      <c r="G61" s="398"/>
      <c r="H61" s="398"/>
      <c r="I61" s="398"/>
      <c r="J61" s="398"/>
      <c r="K61" s="398"/>
      <c r="L61" s="458"/>
      <c r="M61" s="587"/>
      <c r="N61" s="424">
        <f t="shared" si="15"/>
        <v>17</v>
      </c>
      <c r="O61" s="412"/>
      <c r="P61" s="412" t="s">
        <v>842</v>
      </c>
      <c r="Q61" s="412"/>
      <c r="R61" s="412"/>
      <c r="S61" s="412"/>
      <c r="T61" s="412"/>
      <c r="U61" s="412"/>
      <c r="V61" s="412"/>
      <c r="W61" s="412"/>
      <c r="X61" s="412"/>
      <c r="Y61" s="412"/>
      <c r="AM61" s="425">
        <f t="shared" si="10"/>
        <v>93</v>
      </c>
      <c r="AN61" s="425">
        <f t="shared" si="20"/>
        <v>16</v>
      </c>
      <c r="AO61" s="425" t="str">
        <f t="shared" si="17"/>
        <v/>
      </c>
      <c r="AP61" s="425">
        <f t="shared" si="22"/>
        <v>0</v>
      </c>
      <c r="AQ61" s="425">
        <f t="shared" si="21"/>
        <v>0</v>
      </c>
      <c r="AR61" s="425" t="str">
        <f t="shared" si="23"/>
        <v/>
      </c>
      <c r="AW61" s="425">
        <f t="shared" si="24"/>
        <v>0</v>
      </c>
      <c r="AX61" s="426">
        <f>Exploitation!E30</f>
        <v>0</v>
      </c>
      <c r="AY61" s="427">
        <f>Exploitation!C30</f>
        <v>0</v>
      </c>
      <c r="AZ61" s="427">
        <f>Exploitation!D30</f>
        <v>0</v>
      </c>
      <c r="BA61" s="427">
        <f>Exploitation!G30+Exploitation!H30</f>
        <v>0</v>
      </c>
      <c r="BB61" s="427">
        <f>Exploitation!F30</f>
        <v>0</v>
      </c>
      <c r="BC61" s="427">
        <f>Exploitation!I30</f>
        <v>0</v>
      </c>
      <c r="BK61" s="425" t="str">
        <f>IF(Exploitation!B31="","",Exploitation!B31)</f>
        <v/>
      </c>
      <c r="BL61" s="426" t="str">
        <f>IF('Synthèse des émissions'!M76="Oui",'Synthèse des émissions'!F130,IF('Synthèse des émissions'!N76="Oui",'Synthèse des émissions'!J130,""))</f>
        <v/>
      </c>
      <c r="BM61" s="427" t="str">
        <f>IF('Synthèse des émissions'!$M76="Oui","",'Synthèse des émissions'!E130)</f>
        <v/>
      </c>
      <c r="BN61" s="427" t="str">
        <f>IF('Synthèse des émissions'!$M76="Oui","",'Synthèse des émissions'!C130)</f>
        <v/>
      </c>
      <c r="BO61" s="427" t="str">
        <f>IF('Synthèse des émissions'!$M76="Oui","",'Synthèse des émissions'!D130)</f>
        <v/>
      </c>
      <c r="BP61" s="427" t="str">
        <f>IF('Synthèse des émissions'!$N76="Oui","",'Synthèse des émissions'!H130)</f>
        <v/>
      </c>
      <c r="BQ61" s="427" t="str">
        <f>IF('Synthèse des émissions'!$N76="Oui","",'Synthèse des émissions'!G130)</f>
        <v/>
      </c>
      <c r="BR61" s="427" t="str">
        <f>IF('Synthèse des émissions'!$N76="Oui","",'Synthèse des émissions'!I130)</f>
        <v/>
      </c>
      <c r="BS61" s="425" t="str">
        <f>CONCATENATE(IF('Synthèse des émissions'!M76="Oui",CONCATENATE(IF(Déclaration!AX62&lt;&gt;0,CONCATENATE(Déclaration!AX62,Déclaration!$CC$45),""),IF(Déclaration!AY62&lt;&gt;0,CONCATENATE(Déclaration!AY62,Déclaration!$CC$46),""),IF(Déclaration!AZ62&lt;&gt;0,CONCATENATE(Déclaration!AZ62,Déclaration!$CC$47),"")),IF('Synthèse des émissions'!N76="Oui",CONCATENATE(IF(Déclaration!BA62&lt;&gt;0,CONCATENATE(Déclaration!BA62,Déclaration!$CC$51),""),IF(Déclaration!BB62&lt;&gt;0,CONCATENATE(Déclaration!BB62,Déclaration!$CC$52),""),IF(Déclaration!BC62&lt;&gt;0,CONCATENATE(Déclaration!BC62,Déclaration!$CC$53),"")),"")))</f>
        <v/>
      </c>
      <c r="BT61" s="428" t="str">
        <f>IF(BK61="","",IF(OR(BL61&lt;&gt;"",BM61&lt;&gt;"",BN61&lt;&gt;"",BO61&lt;&gt;"",BP61&lt;&gt;"",BQ61&lt;&gt;"",BR61&lt;&gt;""),CONCATENATE("VLE ",'Synthèse des émissions'!C76," (",IF(BM61="","",CONCATENATE($CC$48,'Synthèse des émissions'!G76,".")),IF(BN61="","",CONCATENATE(IF('Synthèse des émissions'!D76="",CONCATENATE($CC$49,": ",'Synthèse des émissions'!E76,"."),CONCATENATE($CC$49," sortant à ",'Synthèse des émissions'!D76," kg: ",ROUND('Synthèse des émissions'!E76,3),".")))),IF(BO61="","",CONCATENATE(CC$50,'Synthèse des émissions'!F76,".")),IF(BP61="","",CONCATENATE($CC$54,'Synthèse des émissions'!J76,".")),IF(BQ61="","",CONCATENATE($CC$55,'Synthèse des émissions'!I76,".")),IF(BR61="","",CONCATENATE($CC$56,'Synthèse des émissions'!K76,".")),CONCATENATE(IF(AND(BL61&lt;&gt;"",'Synthèse des émissions'!M76="Oui"),CONCATENATE(Déclaration!$CC$57,": ",ROUND('Synthèse des émissions'!H76,3)),IF(AND(BL61&lt;&gt;"",'Synthèse des émissions'!N76="Oui"),CONCATENATE(Déclaration!$CC$58,": ",ROUND('Synthèse des émissions'!L76,3)),"")),")"))))</f>
        <v/>
      </c>
      <c r="BW61" s="396" t="str">
        <f t="shared" si="14"/>
        <v xml:space="preserve"> bis</v>
      </c>
      <c r="BX61" s="425" t="str">
        <f>IF(AND('Synthèse des émissions'!M76="Oui",'Synthèse des émissions'!N76="Oui"),'Synthèse des émissions'!L76,"")</f>
        <v/>
      </c>
      <c r="BY61" s="425" t="str">
        <f>IF(AND('Synthèse des émissions'!M76="Oui",'Synthèse des émissions'!N76="Oui"),CONCATENATE(IF(BA62&lt;&gt;0,CONCATENATE(BA62,$CC$51),""),IF(BB62&lt;&gt;0,CONCATENATE(BB62,$CC$52),""),IF(BC62&lt;&gt;0,CONCATENATE(BC62,$CC$53),"")),"")</f>
        <v/>
      </c>
      <c r="BZ61" s="425" t="str">
        <f>IF(AND(BM61="",BN61="",BO61="",BP61="",BQ61="",BR61="",BL61="",BY61=""),"",IF(BY61="","",CONCATENATE("VLE ",'Synthèse des émissions'!C76," (",$CC$58,": ",ROUND('Synthèse des émissions'!L76,3),")")))</f>
        <v/>
      </c>
      <c r="CB61" s="457"/>
      <c r="CC61" s="457"/>
    </row>
    <row r="62" spans="1:81" s="396" customFormat="1" x14ac:dyDescent="0.35">
      <c r="A62" s="461">
        <v>44</v>
      </c>
      <c r="B62" s="406" t="str">
        <f t="shared" si="6"/>
        <v/>
      </c>
      <c r="C62" s="398"/>
      <c r="D62" s="398"/>
      <c r="E62" s="398"/>
      <c r="F62" s="398"/>
      <c r="G62" s="398"/>
      <c r="H62" s="398"/>
      <c r="I62" s="398"/>
      <c r="J62" s="398"/>
      <c r="K62" s="398"/>
      <c r="L62" s="458"/>
      <c r="M62" s="587"/>
      <c r="N62" s="424">
        <f t="shared" si="15"/>
        <v>18</v>
      </c>
      <c r="O62" s="412"/>
      <c r="P62" s="412" t="s">
        <v>843</v>
      </c>
      <c r="Q62" s="412"/>
      <c r="R62" s="412"/>
      <c r="S62" s="412"/>
      <c r="T62" s="412"/>
      <c r="U62" s="412"/>
      <c r="V62" s="412"/>
      <c r="W62" s="412"/>
      <c r="X62" s="412"/>
      <c r="Y62" s="412"/>
      <c r="AM62" s="425">
        <f t="shared" si="10"/>
        <v>94</v>
      </c>
      <c r="AN62" s="425">
        <f t="shared" si="20"/>
        <v>17</v>
      </c>
      <c r="AO62" s="425" t="str">
        <f t="shared" si="17"/>
        <v/>
      </c>
      <c r="AP62" s="425">
        <f t="shared" si="22"/>
        <v>0</v>
      </c>
      <c r="AQ62" s="425">
        <f t="shared" si="21"/>
        <v>0</v>
      </c>
      <c r="AR62" s="425" t="str">
        <f t="shared" si="23"/>
        <v/>
      </c>
      <c r="AW62" s="425">
        <f t="shared" si="24"/>
        <v>0</v>
      </c>
      <c r="AX62" s="426">
        <f>Exploitation!E31</f>
        <v>0</v>
      </c>
      <c r="AY62" s="427">
        <f>Exploitation!C31</f>
        <v>0</v>
      </c>
      <c r="AZ62" s="427">
        <f>Exploitation!D31</f>
        <v>0</v>
      </c>
      <c r="BA62" s="427">
        <f>Exploitation!G31+Exploitation!H31</f>
        <v>0</v>
      </c>
      <c r="BB62" s="427">
        <f>Exploitation!F31</f>
        <v>0</v>
      </c>
      <c r="BC62" s="427">
        <f>Exploitation!I31</f>
        <v>0</v>
      </c>
      <c r="BK62" s="425" t="str">
        <f>IF(Exploitation!B32="","",Exploitation!B32)</f>
        <v/>
      </c>
      <c r="BL62" s="426" t="str">
        <f>IF('Synthèse des émissions'!M77="Oui",'Synthèse des émissions'!F131,IF('Synthèse des émissions'!N77="Oui",'Synthèse des émissions'!J131,""))</f>
        <v/>
      </c>
      <c r="BM62" s="427" t="str">
        <f>IF('Synthèse des émissions'!$M77="Oui","",'Synthèse des émissions'!E131)</f>
        <v/>
      </c>
      <c r="BN62" s="427" t="str">
        <f>IF('Synthèse des émissions'!$M77="Oui","",'Synthèse des émissions'!C131)</f>
        <v/>
      </c>
      <c r="BO62" s="427" t="str">
        <f>IF('Synthèse des émissions'!$M77="Oui","",'Synthèse des émissions'!D131)</f>
        <v/>
      </c>
      <c r="BP62" s="427" t="str">
        <f>IF('Synthèse des émissions'!$N77="Oui","",'Synthèse des émissions'!H131)</f>
        <v/>
      </c>
      <c r="BQ62" s="427" t="str">
        <f>IF('Synthèse des émissions'!$N77="Oui","",'Synthèse des émissions'!G131)</f>
        <v/>
      </c>
      <c r="BR62" s="427" t="str">
        <f>IF('Synthèse des émissions'!$N77="Oui","",'Synthèse des émissions'!I131)</f>
        <v/>
      </c>
      <c r="BS62" s="425" t="str">
        <f>CONCATENATE(IF('Synthèse des émissions'!M77="Oui",CONCATENATE(IF(Déclaration!AX63&lt;&gt;0,CONCATENATE(Déclaration!AX63,Déclaration!$CC$45),""),IF(Déclaration!AY63&lt;&gt;0,CONCATENATE(Déclaration!AY63,Déclaration!$CC$46),""),IF(Déclaration!AZ63&lt;&gt;0,CONCATENATE(Déclaration!AZ63,Déclaration!$CC$47),"")),IF('Synthèse des émissions'!N77="Oui",CONCATENATE(IF(Déclaration!BA63&lt;&gt;0,CONCATENATE(Déclaration!BA63,Déclaration!$CC$51),""),IF(Déclaration!BB63&lt;&gt;0,CONCATENATE(Déclaration!BB63,Déclaration!$CC$52),""),IF(Déclaration!BC63&lt;&gt;0,CONCATENATE(Déclaration!BC63,Déclaration!$CC$53),"")),"")))</f>
        <v/>
      </c>
      <c r="BT62" s="428" t="str">
        <f>IF(BK62="","",IF(OR(BL62&lt;&gt;"",BM62&lt;&gt;"",BN62&lt;&gt;"",BO62&lt;&gt;"",BP62&lt;&gt;"",BQ62&lt;&gt;"",BR62&lt;&gt;""),CONCATENATE("VLE ",'Synthèse des émissions'!C77," (",IF(BM62="","",CONCATENATE($CC$48,'Synthèse des émissions'!G77,".")),IF(BN62="","",CONCATENATE(IF('Synthèse des émissions'!D77="",CONCATENATE($CC$49,": ",'Synthèse des émissions'!E77,"."),CONCATENATE($CC$49," sortant à ",'Synthèse des émissions'!D77," kg: ",ROUND('Synthèse des émissions'!E77,3),".")))),IF(BO62="","",CONCATENATE(CC$50,'Synthèse des émissions'!F77,".")),IF(BP62="","",CONCATENATE($CC$54,'Synthèse des émissions'!J77,".")),IF(BQ62="","",CONCATENATE($CC$55,'Synthèse des émissions'!I77,".")),IF(BR62="","",CONCATENATE($CC$56,'Synthèse des émissions'!K77,".")),CONCATENATE(IF(AND(BL62&lt;&gt;"",'Synthèse des émissions'!M77="Oui"),CONCATENATE(Déclaration!$CC$57,": ",ROUND('Synthèse des émissions'!H77,3)),IF(AND(BL62&lt;&gt;"",'Synthèse des émissions'!N77="Oui"),CONCATENATE(Déclaration!$CC$58,": ",ROUND('Synthèse des émissions'!L77,3)),"")),")"))))</f>
        <v/>
      </c>
      <c r="BW62" s="396" t="str">
        <f t="shared" si="14"/>
        <v xml:space="preserve"> bis</v>
      </c>
      <c r="BX62" s="425" t="str">
        <f>IF(AND('Synthèse des émissions'!M77="Oui",'Synthèse des émissions'!N77="Oui"),'Synthèse des émissions'!L77,"")</f>
        <v/>
      </c>
      <c r="BY62" s="425" t="str">
        <f>IF(AND('Synthèse des émissions'!M77="Oui",'Synthèse des émissions'!N77="Oui"),CONCATENATE(IF(BA63&lt;&gt;0,CONCATENATE(BA63,$CC$51),""),IF(BB63&lt;&gt;0,CONCATENATE(BB63,$CC$52),""),IF(BC63&lt;&gt;0,CONCATENATE(BC63,$CC$53),"")),"")</f>
        <v/>
      </c>
      <c r="BZ62" s="425" t="str">
        <f>IF(AND(BM62="",BN62="",BO62="",BP62="",BQ62="",BR62="",BL62="",BY62=""),"",IF(BY62="","",CONCATENATE("VLE ",'Synthèse des émissions'!C77," (",$CC$58,": ",ROUND('Synthèse des émissions'!L77,3),")")))</f>
        <v/>
      </c>
      <c r="CB62" s="457"/>
      <c r="CC62" s="457"/>
    </row>
    <row r="63" spans="1:81" s="396" customFormat="1" x14ac:dyDescent="0.35">
      <c r="A63" s="461">
        <v>45</v>
      </c>
      <c r="B63" s="406" t="str">
        <f t="shared" si="6"/>
        <v/>
      </c>
      <c r="C63" s="398"/>
      <c r="D63" s="398"/>
      <c r="E63" s="398"/>
      <c r="F63" s="398"/>
      <c r="G63" s="398"/>
      <c r="H63" s="398"/>
      <c r="I63" s="398"/>
      <c r="J63" s="398"/>
      <c r="K63" s="398"/>
      <c r="L63" s="458"/>
      <c r="M63" s="587"/>
      <c r="N63" s="424">
        <f t="shared" si="15"/>
        <v>19</v>
      </c>
      <c r="O63" s="412"/>
      <c r="P63" s="412" t="e">
        <f>#N/A</f>
        <v>#N/A</v>
      </c>
      <c r="Q63" s="412"/>
      <c r="R63" s="412"/>
      <c r="S63" s="412"/>
      <c r="T63" s="412"/>
      <c r="U63" s="412"/>
      <c r="V63" s="412"/>
      <c r="W63" s="412"/>
      <c r="X63" s="412"/>
      <c r="Y63" s="412"/>
      <c r="AM63" s="425">
        <f t="shared" si="10"/>
        <v>95</v>
      </c>
      <c r="AN63" s="425">
        <f t="shared" si="20"/>
        <v>18</v>
      </c>
      <c r="AO63" s="425" t="str">
        <f t="shared" si="17"/>
        <v/>
      </c>
      <c r="AP63" s="425">
        <f t="shared" si="22"/>
        <v>0</v>
      </c>
      <c r="AQ63" s="425">
        <f t="shared" si="21"/>
        <v>0</v>
      </c>
      <c r="AR63" s="425" t="str">
        <f t="shared" si="23"/>
        <v/>
      </c>
      <c r="AW63" s="425">
        <f t="shared" si="24"/>
        <v>0</v>
      </c>
      <c r="AX63" s="426">
        <f>Exploitation!E32</f>
        <v>0</v>
      </c>
      <c r="AY63" s="427">
        <f>Exploitation!C32</f>
        <v>0</v>
      </c>
      <c r="AZ63" s="427">
        <f>Exploitation!D32</f>
        <v>0</v>
      </c>
      <c r="BA63" s="427">
        <f>Exploitation!G32+Exploitation!H32</f>
        <v>0</v>
      </c>
      <c r="BB63" s="427">
        <f>Exploitation!F32</f>
        <v>0</v>
      </c>
      <c r="BC63" s="427">
        <f>Exploitation!I32</f>
        <v>0</v>
      </c>
      <c r="BK63" s="425" t="str">
        <f>IF(Exploitation!B33="","",Exploitation!B33)</f>
        <v/>
      </c>
      <c r="BL63" s="426" t="str">
        <f>IF('Synthèse des émissions'!M78="Oui",'Synthèse des émissions'!F132,IF('Synthèse des émissions'!N78="Oui",'Synthèse des émissions'!J132,""))</f>
        <v/>
      </c>
      <c r="BM63" s="427" t="str">
        <f>IF('Synthèse des émissions'!$M78="Oui","",'Synthèse des émissions'!E132)</f>
        <v/>
      </c>
      <c r="BN63" s="427" t="str">
        <f>IF('Synthèse des émissions'!$M78="Oui","",'Synthèse des émissions'!C132)</f>
        <v/>
      </c>
      <c r="BO63" s="427" t="str">
        <f>IF('Synthèse des émissions'!$M78="Oui","",'Synthèse des émissions'!D132)</f>
        <v/>
      </c>
      <c r="BP63" s="427" t="str">
        <f>IF('Synthèse des émissions'!$N78="Oui","",'Synthèse des émissions'!H132)</f>
        <v/>
      </c>
      <c r="BQ63" s="427" t="str">
        <f>IF('Synthèse des émissions'!$N78="Oui","",'Synthèse des émissions'!G132)</f>
        <v/>
      </c>
      <c r="BR63" s="427" t="str">
        <f>IF('Synthèse des émissions'!$N78="Oui","",'Synthèse des émissions'!I132)</f>
        <v/>
      </c>
      <c r="BS63" s="425" t="str">
        <f>CONCATENATE(IF('Synthèse des émissions'!M78="Oui",CONCATENATE(IF(Déclaration!AX64&lt;&gt;0,CONCATENATE(Déclaration!AX64,Déclaration!$CC$45),""),IF(Déclaration!AY64&lt;&gt;0,CONCATENATE(Déclaration!AY64,Déclaration!$CC$46),""),IF(Déclaration!AZ64&lt;&gt;0,CONCATENATE(Déclaration!AZ64,Déclaration!$CC$47),"")),IF('Synthèse des émissions'!N78="Oui",CONCATENATE(IF(Déclaration!BA64&lt;&gt;0,CONCATENATE(Déclaration!BA64,Déclaration!$CC$51),""),IF(Déclaration!BB64&lt;&gt;0,CONCATENATE(Déclaration!BB64,Déclaration!$CC$52),""),IF(Déclaration!BC64&lt;&gt;0,CONCATENATE(Déclaration!BC64,Déclaration!$CC$53),"")),"")))</f>
        <v/>
      </c>
      <c r="BT63" s="428" t="str">
        <f>IF(BK63="","",IF(OR(BL63&lt;&gt;"",BM63&lt;&gt;"",BN63&lt;&gt;"",BO63&lt;&gt;"",BP63&lt;&gt;"",BQ63&lt;&gt;"",BR63&lt;&gt;""),CONCATENATE("VLE ",'Synthèse des émissions'!C78," (",IF(BM63="","",CONCATENATE($CC$48,'Synthèse des émissions'!G78,".")),IF(BN63="","",CONCATENATE(IF('Synthèse des émissions'!D78="",CONCATENATE($CC$49,": ",'Synthèse des émissions'!E78,"."),CONCATENATE($CC$49," sortant à ",'Synthèse des émissions'!D78," kg: ",ROUND('Synthèse des émissions'!E78,3),".")))),IF(BO63="","",CONCATENATE(CC$50,'Synthèse des émissions'!F78,".")),IF(BP63="","",CONCATENATE($CC$54,'Synthèse des émissions'!J78,".")),IF(BQ63="","",CONCATENATE($CC$55,'Synthèse des émissions'!I78,".")),IF(BR63="","",CONCATENATE($CC$56,'Synthèse des émissions'!K78,".")),CONCATENATE(IF(AND(BL63&lt;&gt;"",'Synthèse des émissions'!M78="Oui"),CONCATENATE(Déclaration!$CC$57,": ",ROUND('Synthèse des émissions'!H78,3)),IF(AND(BL63&lt;&gt;"",'Synthèse des émissions'!N78="Oui"),CONCATENATE(Déclaration!$CC$58,": ",ROUND('Synthèse des émissions'!L78,3)),"")),")"))))</f>
        <v/>
      </c>
      <c r="BW63" s="396" t="str">
        <f t="shared" si="14"/>
        <v xml:space="preserve"> bis</v>
      </c>
      <c r="BX63" s="425" t="str">
        <f>IF(AND('Synthèse des émissions'!M78="Oui",'Synthèse des émissions'!N78="Oui"),'Synthèse des émissions'!L78,"")</f>
        <v/>
      </c>
      <c r="BY63" s="425" t="str">
        <f>IF(AND('Synthèse des émissions'!M78="Oui",'Synthèse des émissions'!N78="Oui"),CONCATENATE(IF(BA64&lt;&gt;0,CONCATENATE(BA64,$CC$51),""),IF(BB64&lt;&gt;0,CONCATENATE(BB64,$CC$52),""),IF(BC64&lt;&gt;0,CONCATENATE(BC64,$CC$53),"")),"")</f>
        <v/>
      </c>
      <c r="BZ63" s="425" t="str">
        <f>IF(AND(BM63="",BN63="",BO63="",BP63="",BQ63="",BR63="",BL63="",BY63=""),"",IF(BY63="","",CONCATENATE("VLE ",'Synthèse des émissions'!C78," (",$CC$58,": ",ROUND('Synthèse des émissions'!L78,3),")")))</f>
        <v/>
      </c>
      <c r="CB63" s="457"/>
      <c r="CC63" s="457"/>
    </row>
    <row r="64" spans="1:81" s="396" customFormat="1" x14ac:dyDescent="0.35">
      <c r="A64" s="461">
        <v>46</v>
      </c>
      <c r="B64" s="406" t="str">
        <f t="shared" si="6"/>
        <v/>
      </c>
      <c r="C64" s="398"/>
      <c r="D64" s="398"/>
      <c r="E64" s="398"/>
      <c r="F64" s="398"/>
      <c r="G64" s="398"/>
      <c r="H64" s="398"/>
      <c r="I64" s="398"/>
      <c r="J64" s="398"/>
      <c r="K64" s="398"/>
      <c r="L64" s="458"/>
      <c r="M64" s="587"/>
      <c r="N64" s="424">
        <f t="shared" si="15"/>
        <v>20</v>
      </c>
      <c r="O64" s="412"/>
      <c r="P64" s="412" t="e">
        <f>#N/A</f>
        <v>#N/A</v>
      </c>
      <c r="Q64" s="412"/>
      <c r="R64" s="412"/>
      <c r="S64" s="412"/>
      <c r="T64" s="412"/>
      <c r="U64" s="412"/>
      <c r="V64" s="412"/>
      <c r="W64" s="412"/>
      <c r="X64" s="412"/>
      <c r="Y64" s="412"/>
      <c r="AM64" s="425">
        <f t="shared" si="10"/>
        <v>96</v>
      </c>
      <c r="AN64" s="425">
        <f t="shared" si="20"/>
        <v>19</v>
      </c>
      <c r="AO64" s="425" t="str">
        <f t="shared" si="17"/>
        <v/>
      </c>
      <c r="AP64" s="425">
        <f t="shared" si="22"/>
        <v>0</v>
      </c>
      <c r="AQ64" s="425">
        <f t="shared" si="21"/>
        <v>0</v>
      </c>
      <c r="AR64" s="425" t="str">
        <f t="shared" si="23"/>
        <v/>
      </c>
      <c r="AW64" s="425">
        <f t="shared" si="24"/>
        <v>0</v>
      </c>
      <c r="AX64" s="426">
        <f>Exploitation!E33</f>
        <v>0</v>
      </c>
      <c r="AY64" s="427">
        <f>Exploitation!C33</f>
        <v>0</v>
      </c>
      <c r="AZ64" s="427">
        <f>Exploitation!D33</f>
        <v>0</v>
      </c>
      <c r="BA64" s="427">
        <f>Exploitation!G33+Exploitation!H33</f>
        <v>0</v>
      </c>
      <c r="BB64" s="427">
        <f>Exploitation!F33</f>
        <v>0</v>
      </c>
      <c r="BC64" s="427">
        <f>Exploitation!I33</f>
        <v>0</v>
      </c>
      <c r="BK64" s="425" t="str">
        <f>IF(Exploitation!B34="","",Exploitation!B34)</f>
        <v/>
      </c>
      <c r="BL64" s="426" t="str">
        <f>IF('Synthèse des émissions'!M79="Oui",'Synthèse des émissions'!F133,IF('Synthèse des émissions'!N79="Oui",'Synthèse des émissions'!J133,""))</f>
        <v/>
      </c>
      <c r="BM64" s="427" t="str">
        <f>IF('Synthèse des émissions'!$M79="Oui","",'Synthèse des émissions'!E133)</f>
        <v/>
      </c>
      <c r="BN64" s="427" t="str">
        <f>IF('Synthèse des émissions'!$M79="Oui","",'Synthèse des émissions'!C133)</f>
        <v/>
      </c>
      <c r="BO64" s="427" t="str">
        <f>IF('Synthèse des émissions'!$M79="Oui","",'Synthèse des émissions'!D133)</f>
        <v/>
      </c>
      <c r="BP64" s="427" t="str">
        <f>IF('Synthèse des émissions'!$N79="Oui","",'Synthèse des émissions'!H133)</f>
        <v/>
      </c>
      <c r="BQ64" s="427" t="str">
        <f>IF('Synthèse des émissions'!$N79="Oui","",'Synthèse des émissions'!G133)</f>
        <v/>
      </c>
      <c r="BR64" s="427" t="str">
        <f>IF('Synthèse des émissions'!$N79="Oui","",'Synthèse des émissions'!I133)</f>
        <v/>
      </c>
      <c r="BS64" s="425" t="str">
        <f>CONCATENATE(IF('Synthèse des émissions'!M79="Oui",CONCATENATE(IF(Déclaration!AX65&lt;&gt;0,CONCATENATE(Déclaration!AX65,Déclaration!$CC$45),""),IF(Déclaration!AY65&lt;&gt;0,CONCATENATE(Déclaration!AY65,Déclaration!$CC$46),""),IF(Déclaration!AZ65&lt;&gt;0,CONCATENATE(Déclaration!AZ65,Déclaration!$CC$47),"")),IF('Synthèse des émissions'!N79="Oui",CONCATENATE(IF(Déclaration!BA65&lt;&gt;0,CONCATENATE(Déclaration!BA65,Déclaration!$CC$51),""),IF(Déclaration!BB65&lt;&gt;0,CONCATENATE(Déclaration!BB65,Déclaration!$CC$52),""),IF(Déclaration!BC65&lt;&gt;0,CONCATENATE(Déclaration!BC65,Déclaration!$CC$53),"")),"")))</f>
        <v/>
      </c>
      <c r="BT64" s="428" t="str">
        <f>IF(BK64="","",IF(OR(BL64&lt;&gt;"",BM64&lt;&gt;"",BN64&lt;&gt;"",BO64&lt;&gt;"",BP64&lt;&gt;"",BQ64&lt;&gt;"",BR64&lt;&gt;""),CONCATENATE("VLE ",'Synthèse des émissions'!C79," (",IF(BM64="","",CONCATENATE($CC$48,'Synthèse des émissions'!G79,".")),IF(BN64="","",CONCATENATE(IF('Synthèse des émissions'!D79="",CONCATENATE($CC$49,": ",'Synthèse des émissions'!E79,"."),CONCATENATE($CC$49," sortant à ",'Synthèse des émissions'!D79," kg: ",ROUND('Synthèse des émissions'!E79,3),".")))),IF(BO64="","",CONCATENATE(CC$50,'Synthèse des émissions'!F79,".")),IF(BP64="","",CONCATENATE($CC$54,'Synthèse des émissions'!J79,".")),IF(BQ64="","",CONCATENATE($CC$55,'Synthèse des émissions'!I79,".")),IF(BR64="","",CONCATENATE($CC$56,'Synthèse des émissions'!K79,".")),CONCATENATE(IF(AND(BL64&lt;&gt;"",'Synthèse des émissions'!M79="Oui"),CONCATENATE(Déclaration!$CC$57,": ",ROUND('Synthèse des émissions'!H79,3)),IF(AND(BL64&lt;&gt;"",'Synthèse des émissions'!N79="Oui"),CONCATENATE(Déclaration!$CC$58,": ",ROUND('Synthèse des émissions'!L79,3)),"")),")"))))</f>
        <v/>
      </c>
      <c r="BW64" s="396" t="str">
        <f t="shared" si="14"/>
        <v xml:space="preserve"> bis</v>
      </c>
      <c r="BX64" s="425" t="str">
        <f>IF(AND('Synthèse des émissions'!M79="Oui",'Synthèse des émissions'!N79="Oui"),'Synthèse des émissions'!L79,"")</f>
        <v/>
      </c>
      <c r="BY64" s="425" t="str">
        <f>IF(AND('Synthèse des émissions'!M79="Oui",'Synthèse des émissions'!N79="Oui"),CONCATENATE(IF(BA65&lt;&gt;0,CONCATENATE(BA65,$CC$51),""),IF(BB65&lt;&gt;0,CONCATENATE(BB65,$CC$52),""),IF(BC65&lt;&gt;0,CONCATENATE(BC65,$CC$53),"")),"")</f>
        <v/>
      </c>
      <c r="BZ64" s="425" t="str">
        <f>IF(AND(BM64="",BN64="",BO64="",BP64="",BQ64="",BR64="",BL64="",BY64=""),"",IF(BY64="","",CONCATENATE("VLE ",'Synthèse des émissions'!C79," (",$CC$58,": ",ROUND('Synthèse des émissions'!L79,3),")")))</f>
        <v/>
      </c>
      <c r="CB64" s="457"/>
      <c r="CC64" s="457"/>
    </row>
    <row r="65" spans="1:81" s="396" customFormat="1" x14ac:dyDescent="0.35">
      <c r="A65" s="461">
        <v>47</v>
      </c>
      <c r="B65" s="406" t="str">
        <f t="shared" si="6"/>
        <v/>
      </c>
      <c r="C65" s="398"/>
      <c r="D65" s="398"/>
      <c r="E65" s="398"/>
      <c r="F65" s="398"/>
      <c r="G65" s="398"/>
      <c r="H65" s="398"/>
      <c r="I65" s="398"/>
      <c r="J65" s="398"/>
      <c r="K65" s="398"/>
      <c r="L65" s="458"/>
      <c r="M65" s="587"/>
      <c r="N65" s="424">
        <f t="shared" si="15"/>
        <v>21</v>
      </c>
      <c r="O65" s="412"/>
      <c r="P65" s="412" t="e">
        <f>#N/A</f>
        <v>#N/A</v>
      </c>
      <c r="Q65" s="412"/>
      <c r="R65" s="412"/>
      <c r="S65" s="412"/>
      <c r="T65" s="412"/>
      <c r="U65" s="412"/>
      <c r="V65" s="412"/>
      <c r="W65" s="412"/>
      <c r="X65" s="412"/>
      <c r="Y65" s="412"/>
      <c r="AM65" s="425">
        <f t="shared" si="10"/>
        <v>97</v>
      </c>
      <c r="AN65" s="425">
        <f t="shared" si="20"/>
        <v>20</v>
      </c>
      <c r="AO65" s="425" t="str">
        <f>BK64</f>
        <v/>
      </c>
      <c r="AP65" s="425">
        <f t="shared" si="22"/>
        <v>0</v>
      </c>
      <c r="AQ65" s="425">
        <f t="shared" si="21"/>
        <v>0</v>
      </c>
      <c r="AR65" s="425" t="str">
        <f t="shared" si="23"/>
        <v/>
      </c>
      <c r="AW65" s="425">
        <f t="shared" si="24"/>
        <v>0</v>
      </c>
      <c r="AX65" s="426">
        <f>Exploitation!E34</f>
        <v>0</v>
      </c>
      <c r="AY65" s="427">
        <f>Exploitation!C34</f>
        <v>0</v>
      </c>
      <c r="AZ65" s="427">
        <f>Exploitation!D34</f>
        <v>0</v>
      </c>
      <c r="BA65" s="427">
        <f>Exploitation!G34+Exploitation!H34</f>
        <v>0</v>
      </c>
      <c r="BB65" s="427">
        <f>Exploitation!F34</f>
        <v>0</v>
      </c>
      <c r="BC65" s="427">
        <f>Exploitation!I34</f>
        <v>0</v>
      </c>
      <c r="BK65" s="458"/>
      <c r="BL65" s="458"/>
      <c r="BM65" s="458"/>
      <c r="BN65" s="458"/>
      <c r="BO65" s="458"/>
      <c r="BP65" s="458"/>
      <c r="BQ65" s="458"/>
      <c r="BR65" s="458"/>
      <c r="BS65" s="458"/>
      <c r="BT65" s="458"/>
      <c r="BW65" s="458"/>
      <c r="BX65" s="458"/>
      <c r="BY65" s="458"/>
      <c r="BZ65" s="458"/>
      <c r="CB65" s="457"/>
      <c r="CC65" s="457"/>
    </row>
    <row r="66" spans="1:81" s="396" customFormat="1" x14ac:dyDescent="0.35">
      <c r="A66" s="461">
        <v>48</v>
      </c>
      <c r="B66" s="406" t="str">
        <f t="shared" si="6"/>
        <v/>
      </c>
      <c r="C66" s="398"/>
      <c r="D66" s="398"/>
      <c r="E66" s="398"/>
      <c r="F66" s="398"/>
      <c r="G66" s="398"/>
      <c r="H66" s="398"/>
      <c r="I66" s="398"/>
      <c r="J66" s="398"/>
      <c r="K66" s="398"/>
      <c r="L66" s="458"/>
      <c r="M66" s="587"/>
      <c r="N66" s="424">
        <f t="shared" si="15"/>
        <v>22</v>
      </c>
      <c r="O66" s="412"/>
      <c r="P66" s="412" t="e">
        <f>#N/A</f>
        <v>#N/A</v>
      </c>
      <c r="Q66" s="412"/>
      <c r="R66" s="412"/>
      <c r="S66" s="412"/>
      <c r="T66" s="412"/>
      <c r="U66" s="412"/>
      <c r="V66" s="412"/>
      <c r="W66" s="412"/>
      <c r="X66" s="412"/>
      <c r="Y66" s="412"/>
      <c r="AM66" s="425">
        <f t="shared" si="10"/>
        <v>98</v>
      </c>
      <c r="AN66" s="425">
        <f>AQ46</f>
        <v>0</v>
      </c>
      <c r="AO66" s="425" t="str">
        <f>AR46</f>
        <v/>
      </c>
      <c r="AP66" s="425"/>
      <c r="AQ66" s="425"/>
      <c r="AR66" s="425"/>
      <c r="AW66"/>
      <c r="AX66"/>
      <c r="AY66"/>
      <c r="AZ66"/>
      <c r="BA66"/>
      <c r="BB66"/>
      <c r="BC66"/>
      <c r="BD66"/>
      <c r="BK66" s="458"/>
      <c r="BL66" s="458"/>
      <c r="BM66" s="458"/>
      <c r="BN66" s="458"/>
      <c r="BO66" s="458"/>
      <c r="BP66" s="458"/>
      <c r="BQ66" s="458"/>
      <c r="BR66" s="458"/>
      <c r="BS66" s="458"/>
      <c r="BT66" s="458"/>
      <c r="BW66" s="458"/>
      <c r="BX66" s="458"/>
      <c r="BY66" s="458"/>
      <c r="BZ66" s="458"/>
      <c r="CB66" s="457"/>
      <c r="CC66" s="457"/>
    </row>
    <row r="67" spans="1:81" s="396" customFormat="1" ht="15" thickBot="1" x14ac:dyDescent="0.4">
      <c r="A67" s="461">
        <v>49</v>
      </c>
      <c r="B67" s="406" t="str">
        <f t="shared" si="6"/>
        <v/>
      </c>
      <c r="C67" s="398"/>
      <c r="D67" s="398"/>
      <c r="E67" s="398"/>
      <c r="F67" s="398"/>
      <c r="G67" s="398"/>
      <c r="H67" s="398"/>
      <c r="I67" s="398"/>
      <c r="J67" s="398"/>
      <c r="K67" s="398"/>
      <c r="L67" s="458"/>
      <c r="M67" s="588"/>
      <c r="N67" s="424">
        <f t="shared" si="15"/>
        <v>23</v>
      </c>
      <c r="O67" s="412"/>
      <c r="P67" s="412" t="e">
        <f>#N/A</f>
        <v>#N/A</v>
      </c>
      <c r="Q67" s="412"/>
      <c r="R67" s="412"/>
      <c r="S67" s="412"/>
      <c r="T67" s="412"/>
      <c r="U67" s="412"/>
      <c r="V67" s="412"/>
      <c r="W67" s="412"/>
      <c r="X67" s="412"/>
      <c r="Y67" s="412"/>
      <c r="AM67" s="425">
        <f t="shared" si="10"/>
        <v>99</v>
      </c>
      <c r="AN67" s="425">
        <f t="shared" ref="AN67:AN77" si="25">AQ47</f>
        <v>0</v>
      </c>
      <c r="AO67" s="425" t="str">
        <f t="shared" ref="AO67:AO85" si="26">AR47</f>
        <v/>
      </c>
      <c r="AP67" s="425"/>
      <c r="AQ67" s="425"/>
      <c r="AR67" s="425"/>
      <c r="AW67"/>
      <c r="AX67"/>
      <c r="AY67"/>
      <c r="AZ67"/>
      <c r="BA67"/>
      <c r="BB67"/>
      <c r="BC67"/>
      <c r="BD67"/>
      <c r="BK67" s="458"/>
      <c r="BL67" s="458"/>
      <c r="BM67" s="458"/>
      <c r="BN67" s="458"/>
      <c r="BO67" s="458"/>
      <c r="BP67" s="458"/>
      <c r="BQ67" s="458"/>
      <c r="BR67" s="458"/>
      <c r="BS67" s="458"/>
      <c r="BT67" s="458"/>
      <c r="BW67" s="458"/>
      <c r="BX67" s="458"/>
      <c r="BY67" s="458"/>
      <c r="BZ67" s="458"/>
      <c r="CB67" s="457"/>
      <c r="CC67" s="457"/>
    </row>
    <row r="68" spans="1:81" s="396" customFormat="1" x14ac:dyDescent="0.35">
      <c r="A68" s="461">
        <v>50</v>
      </c>
      <c r="B68" s="406" t="str">
        <f t="shared" si="6"/>
        <v/>
      </c>
      <c r="C68" s="398" t="str">
        <f t="shared" ref="C68:I70" si="27">IF(ISERROR(IF($A68&lt;$N$45,VLOOKUP($A68,$N$77:$Y$117,HLOOKUP(C$17,$O$72:$Y$73,2,FALSE),FALSE),VLOOKUP($A68,$N$45:$Y$57,C$16+3,FALSE))),
"",
IF($A68&lt;$N$45,VLOOKUP($A68,$N$77:$Y$117,HLOOKUP(C$17,$O$72:$Y$73,2,FALSE),FALSE),VLOOKUP($A68,$N$45:$Y$57,C$16+3,FALSE)))</f>
        <v/>
      </c>
      <c r="D68" s="398" t="str">
        <f t="shared" si="27"/>
        <v/>
      </c>
      <c r="E68" s="398" t="str">
        <f t="shared" si="27"/>
        <v/>
      </c>
      <c r="F68" s="398" t="str">
        <f t="shared" si="27"/>
        <v/>
      </c>
      <c r="G68" s="398" t="str">
        <f t="shared" si="27"/>
        <v/>
      </c>
      <c r="H68" s="398" t="str">
        <f t="shared" si="27"/>
        <v/>
      </c>
      <c r="I68" s="398" t="str">
        <f t="shared" si="27"/>
        <v/>
      </c>
      <c r="J68" s="398" t="str">
        <f t="shared" ref="J68:K70" si="28">IF(ISERROR(IF($A68&lt;$N$45,VLOOKUP($A68,$N$77:$Y$117,HLOOKUP(J$16,$O$72:$Y$73,2,FALSE),FALSE),VLOOKUP($A68,$N$45:$Y$57,J$16+3,FALSE))),
"",
IF($A68&lt;$N$45,VLOOKUP($A68,$N$77:$Y$117,HLOOKUP(J$16,$O$72:$Y$73,2,FALSE),FALSE),VLOOKUP($A68,$N$45:$Y$57,J$16+3,FALSE)))</f>
        <v/>
      </c>
      <c r="K68" s="398" t="str">
        <f t="shared" si="28"/>
        <v/>
      </c>
      <c r="L68" s="458"/>
      <c r="M68" s="53"/>
      <c r="N68" s="399"/>
      <c r="O68" s="53"/>
      <c r="Y68" s="402"/>
      <c r="AM68" s="425">
        <f t="shared" si="10"/>
        <v>100</v>
      </c>
      <c r="AN68" s="425">
        <f t="shared" si="25"/>
        <v>0</v>
      </c>
      <c r="AO68" s="425" t="str">
        <f t="shared" si="26"/>
        <v/>
      </c>
      <c r="AP68" s="425"/>
      <c r="AQ68" s="425"/>
      <c r="AR68" s="425"/>
      <c r="BK68" s="458"/>
      <c r="BL68" s="458"/>
      <c r="BM68" s="458"/>
      <c r="BN68" s="458"/>
      <c r="BO68" s="458"/>
      <c r="BP68" s="458"/>
      <c r="BQ68" s="458"/>
      <c r="BR68" s="458"/>
      <c r="BS68" s="458"/>
      <c r="BT68" s="458"/>
      <c r="BW68" s="458"/>
      <c r="BX68" s="458"/>
      <c r="BY68" s="458"/>
      <c r="BZ68" s="458"/>
    </row>
    <row r="69" spans="1:81" s="396" customFormat="1" x14ac:dyDescent="0.35">
      <c r="A69" s="461">
        <v>51</v>
      </c>
      <c r="B69" s="406" t="str">
        <f t="shared" si="6"/>
        <v/>
      </c>
      <c r="C69" s="398" t="str">
        <f t="shared" si="27"/>
        <v/>
      </c>
      <c r="D69" s="398" t="str">
        <f t="shared" si="27"/>
        <v/>
      </c>
      <c r="E69" s="398" t="str">
        <f t="shared" si="27"/>
        <v/>
      </c>
      <c r="F69" s="398" t="str">
        <f t="shared" si="27"/>
        <v/>
      </c>
      <c r="G69" s="398" t="str">
        <f t="shared" si="27"/>
        <v/>
      </c>
      <c r="H69" s="398" t="str">
        <f t="shared" si="27"/>
        <v/>
      </c>
      <c r="I69" s="398" t="str">
        <f t="shared" si="27"/>
        <v/>
      </c>
      <c r="J69" s="398" t="str">
        <f t="shared" si="28"/>
        <v/>
      </c>
      <c r="K69" s="398" t="str">
        <f t="shared" si="28"/>
        <v/>
      </c>
      <c r="L69" s="458"/>
      <c r="M69" s="53"/>
      <c r="N69" s="399"/>
      <c r="O69" s="53"/>
      <c r="Y69" s="402"/>
      <c r="AM69" s="425">
        <f t="shared" si="10"/>
        <v>101</v>
      </c>
      <c r="AN69" s="425">
        <f t="shared" si="25"/>
        <v>0</v>
      </c>
      <c r="AO69" s="425" t="str">
        <f t="shared" si="26"/>
        <v/>
      </c>
      <c r="AP69" s="425"/>
      <c r="AQ69" s="425"/>
      <c r="AR69" s="425"/>
      <c r="BK69" s="458"/>
      <c r="BL69" s="458"/>
      <c r="BM69" s="458"/>
      <c r="BN69" s="458"/>
      <c r="BO69" s="458"/>
      <c r="BP69" s="458"/>
      <c r="BQ69" s="458"/>
      <c r="BR69" s="458"/>
      <c r="BS69" s="458"/>
      <c r="BT69" s="458"/>
      <c r="BW69" s="458"/>
      <c r="BX69" s="458"/>
      <c r="BY69" s="458"/>
      <c r="BZ69" s="458"/>
    </row>
    <row r="70" spans="1:81" s="396" customFormat="1" x14ac:dyDescent="0.35">
      <c r="A70" s="461">
        <v>52</v>
      </c>
      <c r="B70" s="406" t="str">
        <f t="shared" si="6"/>
        <v/>
      </c>
      <c r="C70" s="398" t="str">
        <f t="shared" si="27"/>
        <v/>
      </c>
      <c r="D70" s="398" t="str">
        <f t="shared" si="27"/>
        <v/>
      </c>
      <c r="E70" s="398" t="str">
        <f t="shared" si="27"/>
        <v/>
      </c>
      <c r="F70" s="398" t="str">
        <f t="shared" si="27"/>
        <v/>
      </c>
      <c r="G70" s="398" t="str">
        <f t="shared" si="27"/>
        <v/>
      </c>
      <c r="H70" s="398" t="str">
        <f t="shared" si="27"/>
        <v/>
      </c>
      <c r="I70" s="398" t="str">
        <f t="shared" si="27"/>
        <v/>
      </c>
      <c r="J70" s="398" t="str">
        <f t="shared" si="28"/>
        <v/>
      </c>
      <c r="K70" s="398" t="str">
        <f t="shared" si="28"/>
        <v/>
      </c>
      <c r="L70" s="458"/>
      <c r="M70" s="53"/>
      <c r="N70" s="399"/>
      <c r="O70" s="53"/>
      <c r="Y70" s="402"/>
      <c r="AM70" s="425">
        <f t="shared" si="10"/>
        <v>102</v>
      </c>
      <c r="AN70" s="425">
        <f t="shared" si="25"/>
        <v>0</v>
      </c>
      <c r="AO70" s="425" t="str">
        <f t="shared" si="26"/>
        <v/>
      </c>
      <c r="AP70" s="425"/>
      <c r="AQ70" s="425"/>
      <c r="AR70" s="425"/>
      <c r="BK70" s="458"/>
      <c r="BL70" s="458"/>
      <c r="BM70" s="458"/>
      <c r="BN70" s="458"/>
      <c r="BO70" s="458"/>
      <c r="BP70" s="458"/>
      <c r="BQ70" s="458"/>
      <c r="BR70" s="458"/>
      <c r="BS70" s="458"/>
      <c r="BT70" s="458"/>
      <c r="BW70" s="458"/>
      <c r="BX70" s="458"/>
      <c r="BY70" s="458"/>
      <c r="BZ70" s="458"/>
    </row>
    <row r="71" spans="1:81" s="396" customFormat="1" x14ac:dyDescent="0.35">
      <c r="A71" s="461">
        <v>53</v>
      </c>
      <c r="B71" s="406" t="str">
        <f t="shared" si="6"/>
        <v/>
      </c>
      <c r="C71" s="398"/>
      <c r="D71" s="398"/>
      <c r="E71" s="398"/>
      <c r="F71" s="398"/>
      <c r="G71" s="398"/>
      <c r="H71" s="398"/>
      <c r="I71" s="398"/>
      <c r="J71" s="398"/>
      <c r="K71" s="398"/>
      <c r="L71" s="458"/>
      <c r="M71" s="53"/>
      <c r="N71" s="399"/>
      <c r="O71" s="53"/>
      <c r="Y71" s="402"/>
      <c r="Z71" s="458"/>
      <c r="AA71" s="591" t="s">
        <v>811</v>
      </c>
      <c r="AB71" s="591"/>
      <c r="AC71" s="591"/>
      <c r="AD71" s="591"/>
      <c r="AE71" s="591"/>
      <c r="AF71" s="591"/>
      <c r="AG71" s="591"/>
      <c r="AH71" s="591"/>
      <c r="AM71" s="425">
        <f t="shared" si="10"/>
        <v>103</v>
      </c>
      <c r="AN71" s="425">
        <f t="shared" si="25"/>
        <v>0</v>
      </c>
      <c r="AO71" s="425" t="str">
        <f t="shared" si="26"/>
        <v/>
      </c>
      <c r="AP71" s="425"/>
      <c r="AQ71" s="425"/>
      <c r="AR71" s="425"/>
      <c r="BK71" s="458"/>
      <c r="BL71" s="458"/>
      <c r="BM71" s="458"/>
      <c r="BN71" s="458"/>
      <c r="BO71" s="458"/>
      <c r="BP71" s="458"/>
      <c r="BQ71" s="458"/>
      <c r="BR71" s="458"/>
      <c r="BS71" s="458"/>
      <c r="BT71" s="458"/>
      <c r="BW71" s="458"/>
      <c r="BX71" s="458"/>
      <c r="BY71" s="458"/>
      <c r="BZ71" s="458"/>
    </row>
    <row r="72" spans="1:81" s="396" customFormat="1" x14ac:dyDescent="0.35">
      <c r="A72" s="461">
        <v>54</v>
      </c>
      <c r="B72" s="406" t="str">
        <f t="shared" si="6"/>
        <v/>
      </c>
      <c r="C72" s="398"/>
      <c r="D72" s="398"/>
      <c r="E72" s="398"/>
      <c r="F72" s="398"/>
      <c r="G72" s="398"/>
      <c r="H72" s="398"/>
      <c r="I72" s="398"/>
      <c r="J72" s="398"/>
      <c r="K72" s="398"/>
      <c r="L72" s="458"/>
      <c r="M72" s="53"/>
      <c r="N72" s="399"/>
      <c r="O72" s="432" t="s">
        <v>814</v>
      </c>
      <c r="P72" s="432">
        <v>0</v>
      </c>
      <c r="Q72" s="432" t="str">
        <f>IF(P74=Q74,"",Q74)</f>
        <v/>
      </c>
      <c r="R72" s="432" t="str">
        <f t="shared" ref="R72" si="29">IF(Q74=R74,"",R74)</f>
        <v/>
      </c>
      <c r="S72" s="432" t="str">
        <f t="shared" ref="S72:W72" si="30">IF(R74=S74,"",S74)</f>
        <v/>
      </c>
      <c r="T72" s="432" t="str">
        <f>IF(S74=T74,"",T74)</f>
        <v/>
      </c>
      <c r="U72" s="432" t="str">
        <f t="shared" si="30"/>
        <v/>
      </c>
      <c r="V72" s="432" t="str">
        <f t="shared" si="30"/>
        <v/>
      </c>
      <c r="W72" s="432" t="str">
        <f t="shared" si="30"/>
        <v/>
      </c>
      <c r="X72" s="432">
        <f>IF(W74=X74,"",X74)</f>
        <v>8</v>
      </c>
      <c r="Y72" s="432" t="str">
        <f>IF(X74=Y74,"",Y74)</f>
        <v/>
      </c>
      <c r="AA72" s="585" t="s">
        <v>812</v>
      </c>
      <c r="AB72" s="585"/>
      <c r="AM72" s="425">
        <f t="shared" si="10"/>
        <v>104</v>
      </c>
      <c r="AN72" s="425">
        <f t="shared" si="25"/>
        <v>0</v>
      </c>
      <c r="AO72" s="425" t="str">
        <f t="shared" si="26"/>
        <v/>
      </c>
      <c r="AP72" s="425"/>
      <c r="AQ72" s="425"/>
      <c r="AR72" s="425"/>
      <c r="BK72" s="458"/>
      <c r="BL72" s="458"/>
      <c r="BM72" s="458"/>
      <c r="BN72" s="458"/>
      <c r="BO72" s="458"/>
      <c r="BP72" s="458"/>
      <c r="BQ72" s="458"/>
      <c r="BR72" s="458"/>
      <c r="BS72" s="458"/>
      <c r="BT72" s="458"/>
      <c r="BW72" s="458"/>
      <c r="BX72" s="458"/>
      <c r="BY72" s="458"/>
      <c r="BZ72" s="458"/>
    </row>
    <row r="73" spans="1:81" s="396" customFormat="1" x14ac:dyDescent="0.35">
      <c r="A73" s="461">
        <v>55</v>
      </c>
      <c r="B73" s="406" t="str">
        <f t="shared" si="6"/>
        <v/>
      </c>
      <c r="C73" s="398"/>
      <c r="D73" s="398"/>
      <c r="E73" s="398"/>
      <c r="F73" s="398"/>
      <c r="G73" s="398"/>
      <c r="H73" s="398"/>
      <c r="I73" s="398"/>
      <c r="J73" s="398"/>
      <c r="K73" s="398"/>
      <c r="L73" s="458"/>
      <c r="M73" s="53"/>
      <c r="N73" s="399"/>
      <c r="O73" s="432" t="s">
        <v>817</v>
      </c>
      <c r="P73" s="432">
        <v>3</v>
      </c>
      <c r="Q73" s="432">
        <f>P73+1</f>
        <v>4</v>
      </c>
      <c r="R73" s="432">
        <f t="shared" ref="R73:Y73" si="31">Q73+1</f>
        <v>5</v>
      </c>
      <c r="S73" s="432">
        <f t="shared" si="31"/>
        <v>6</v>
      </c>
      <c r="T73" s="432">
        <f t="shared" si="31"/>
        <v>7</v>
      </c>
      <c r="U73" s="432">
        <f t="shared" si="31"/>
        <v>8</v>
      </c>
      <c r="V73" s="432">
        <f t="shared" si="31"/>
        <v>9</v>
      </c>
      <c r="W73" s="432">
        <f t="shared" si="31"/>
        <v>10</v>
      </c>
      <c r="X73" s="432">
        <f t="shared" si="31"/>
        <v>11</v>
      </c>
      <c r="Y73" s="432">
        <f t="shared" si="31"/>
        <v>12</v>
      </c>
      <c r="AA73" s="585">
        <f>MAX(P72:W72)</f>
        <v>0</v>
      </c>
      <c r="AB73" s="585"/>
      <c r="AM73" s="425">
        <f t="shared" si="10"/>
        <v>105</v>
      </c>
      <c r="AN73" s="425">
        <f t="shared" si="25"/>
        <v>0</v>
      </c>
      <c r="AO73" s="425" t="str">
        <f t="shared" si="26"/>
        <v/>
      </c>
      <c r="AP73" s="425"/>
      <c r="AQ73" s="425"/>
      <c r="AR73" s="425"/>
      <c r="BK73" s="458"/>
      <c r="BL73" s="458"/>
      <c r="BM73" s="458"/>
      <c r="BN73" s="458"/>
      <c r="BO73" s="458"/>
      <c r="BP73" s="458"/>
      <c r="BQ73" s="458"/>
      <c r="BR73" s="458"/>
      <c r="BS73" s="458"/>
      <c r="BT73" s="458"/>
      <c r="BW73" s="458"/>
      <c r="BX73" s="458"/>
      <c r="BY73" s="458"/>
      <c r="BZ73" s="458"/>
    </row>
    <row r="74" spans="1:81" s="396" customFormat="1" x14ac:dyDescent="0.35">
      <c r="A74" s="461">
        <v>56</v>
      </c>
      <c r="B74" s="406" t="str">
        <f t="shared" si="6"/>
        <v/>
      </c>
      <c r="C74" s="398"/>
      <c r="D74" s="398"/>
      <c r="E74" s="398"/>
      <c r="F74" s="398"/>
      <c r="G74" s="398"/>
      <c r="H74" s="398"/>
      <c r="I74" s="398"/>
      <c r="J74" s="398"/>
      <c r="K74" s="398"/>
      <c r="L74" s="458"/>
      <c r="M74" s="53"/>
      <c r="N74" s="399"/>
      <c r="O74" s="437" t="s">
        <v>819</v>
      </c>
      <c r="P74" s="437">
        <v>0</v>
      </c>
      <c r="Q74" s="437">
        <f>IF(Q75,1,0)</f>
        <v>0</v>
      </c>
      <c r="R74" s="437">
        <f>IF(R75,Q74+1,Q74)</f>
        <v>0</v>
      </c>
      <c r="S74" s="437">
        <f>IF(S75,R74+1,R74)</f>
        <v>0</v>
      </c>
      <c r="T74" s="437">
        <f>IF(T75,S74+1,S74)</f>
        <v>0</v>
      </c>
      <c r="U74" s="437">
        <f t="shared" ref="U74:V74" si="32">IF(U75,T74+1,T74)</f>
        <v>0</v>
      </c>
      <c r="V74" s="437">
        <f t="shared" si="32"/>
        <v>0</v>
      </c>
      <c r="W74" s="437">
        <f>IF(W75,V74+1,V74)</f>
        <v>0</v>
      </c>
      <c r="X74" s="438">
        <v>8</v>
      </c>
      <c r="Y74" s="438">
        <f>IF(Y75=TRUE,9,X74)</f>
        <v>8</v>
      </c>
      <c r="Z74" s="396" t="s">
        <v>820</v>
      </c>
      <c r="AA74" s="433" t="s">
        <v>815</v>
      </c>
      <c r="AB74" s="434">
        <v>1</v>
      </c>
      <c r="AC74" s="435">
        <v>2</v>
      </c>
      <c r="AD74" s="435">
        <v>3</v>
      </c>
      <c r="AE74" s="435">
        <v>4</v>
      </c>
      <c r="AF74" s="435">
        <v>5</v>
      </c>
      <c r="AG74" s="435">
        <v>6</v>
      </c>
      <c r="AH74" s="435">
        <v>7</v>
      </c>
      <c r="AM74" s="425">
        <f t="shared" si="10"/>
        <v>106</v>
      </c>
      <c r="AN74" s="425">
        <f t="shared" si="25"/>
        <v>0</v>
      </c>
      <c r="AO74" s="425" t="str">
        <f t="shared" si="26"/>
        <v/>
      </c>
      <c r="AP74" s="425"/>
      <c r="AQ74" s="425"/>
      <c r="AR74" s="425"/>
      <c r="BK74" s="458"/>
      <c r="BL74" s="458"/>
      <c r="BM74" s="458"/>
      <c r="BN74" s="458"/>
      <c r="BO74" s="458"/>
      <c r="BP74" s="458"/>
      <c r="BQ74" s="458"/>
      <c r="BR74" s="458"/>
      <c r="BS74" s="458"/>
      <c r="BT74" s="458"/>
      <c r="BW74" s="458"/>
      <c r="BX74" s="458"/>
      <c r="BY74" s="458"/>
      <c r="BZ74" s="458"/>
    </row>
    <row r="75" spans="1:81" s="396" customFormat="1" ht="18.5" x14ac:dyDescent="0.45">
      <c r="A75" s="461">
        <v>57</v>
      </c>
      <c r="B75" s="406" t="str">
        <f t="shared" si="6"/>
        <v/>
      </c>
      <c r="C75" s="398"/>
      <c r="D75" s="398"/>
      <c r="E75" s="398"/>
      <c r="F75" s="398"/>
      <c r="G75" s="398"/>
      <c r="H75" s="398"/>
      <c r="I75" s="398"/>
      <c r="J75" s="398"/>
      <c r="K75" s="398"/>
      <c r="L75" s="458"/>
      <c r="M75" s="53"/>
      <c r="N75" s="399"/>
      <c r="O75" s="439" t="s">
        <v>821</v>
      </c>
      <c r="P75" s="439">
        <v>0</v>
      </c>
      <c r="Q75" s="440" t="b">
        <f>IF(SUM(Q78:Q117)&gt;0,TRUE,FALSE)</f>
        <v>0</v>
      </c>
      <c r="R75" s="440" t="b">
        <f t="shared" ref="R75:W75" si="33">IF(SUM(R78:R117)&gt;0,TRUE,FALSE)</f>
        <v>0</v>
      </c>
      <c r="S75" s="440" t="b">
        <f t="shared" si="33"/>
        <v>0</v>
      </c>
      <c r="T75" s="440" t="b">
        <f t="shared" si="33"/>
        <v>0</v>
      </c>
      <c r="U75" s="440" t="b">
        <f t="shared" si="33"/>
        <v>0</v>
      </c>
      <c r="V75" s="440" t="b">
        <f t="shared" si="33"/>
        <v>0</v>
      </c>
      <c r="W75" s="440" t="b">
        <f t="shared" si="33"/>
        <v>0</v>
      </c>
      <c r="X75" s="440" t="b">
        <f>IF(SUM(Q78:W117)&gt;0,TRUE,FALSE)</f>
        <v>0</v>
      </c>
      <c r="Y75" s="441" t="b">
        <f>IF(SUM(Q78:Q116)&gt;0,TRUE,FALSE)</f>
        <v>0</v>
      </c>
      <c r="AA75" s="435">
        <v>1</v>
      </c>
      <c r="AB75" s="425">
        <v>2</v>
      </c>
      <c r="AC75" s="425">
        <v>3</v>
      </c>
      <c r="AD75" s="425">
        <v>4</v>
      </c>
      <c r="AE75" s="436">
        <v>1</v>
      </c>
      <c r="AF75" s="425">
        <v>5</v>
      </c>
      <c r="AG75" s="425">
        <v>6</v>
      </c>
      <c r="AH75" s="425">
        <v>7</v>
      </c>
      <c r="AM75" s="425">
        <f t="shared" si="10"/>
        <v>107</v>
      </c>
      <c r="AN75" s="425">
        <f t="shared" si="25"/>
        <v>0</v>
      </c>
      <c r="AO75" s="425" t="str">
        <f t="shared" si="26"/>
        <v/>
      </c>
      <c r="AP75" s="425"/>
      <c r="AQ75" s="425"/>
      <c r="AR75" s="425"/>
    </row>
    <row r="76" spans="1:81" s="396" customFormat="1" ht="18.5" x14ac:dyDescent="0.45">
      <c r="A76" s="461">
        <v>58</v>
      </c>
      <c r="B76" s="406" t="str">
        <f t="shared" si="6"/>
        <v/>
      </c>
      <c r="C76" s="398"/>
      <c r="D76" s="398"/>
      <c r="E76" s="398"/>
      <c r="F76" s="398"/>
      <c r="G76" s="398"/>
      <c r="H76" s="398"/>
      <c r="I76" s="398"/>
      <c r="J76" s="398"/>
      <c r="K76" s="398"/>
      <c r="L76" s="458"/>
      <c r="M76" s="53"/>
      <c r="N76" s="442" t="s">
        <v>789</v>
      </c>
      <c r="O76" s="443" t="s">
        <v>822</v>
      </c>
      <c r="Q76" s="444" t="s">
        <v>823</v>
      </c>
      <c r="R76" s="445"/>
      <c r="S76" s="445"/>
      <c r="T76" s="445"/>
      <c r="U76" s="445"/>
      <c r="V76" s="445"/>
      <c r="W76" s="446"/>
      <c r="Y76" s="431"/>
      <c r="AA76" s="435">
        <v>2</v>
      </c>
      <c r="AB76" s="425">
        <v>3</v>
      </c>
      <c r="AC76" s="436">
        <v>1</v>
      </c>
      <c r="AD76" s="425">
        <v>4</v>
      </c>
      <c r="AE76" s="425">
        <v>5</v>
      </c>
      <c r="AF76" s="436">
        <v>2</v>
      </c>
      <c r="AG76" s="425">
        <v>6</v>
      </c>
      <c r="AH76" s="425">
        <v>7</v>
      </c>
      <c r="AM76" s="425">
        <f t="shared" si="10"/>
        <v>108</v>
      </c>
      <c r="AN76" s="425">
        <f t="shared" si="25"/>
        <v>0</v>
      </c>
      <c r="AO76" s="425" t="str">
        <f t="shared" si="26"/>
        <v/>
      </c>
      <c r="AP76" s="425"/>
      <c r="AQ76" s="425"/>
      <c r="AR76" s="425"/>
    </row>
    <row r="77" spans="1:81" s="396" customFormat="1" ht="18.5" x14ac:dyDescent="0.45">
      <c r="A77" s="461">
        <v>59</v>
      </c>
      <c r="B77" s="406" t="str">
        <f t="shared" si="6"/>
        <v/>
      </c>
      <c r="C77" s="398"/>
      <c r="D77" s="398"/>
      <c r="E77" s="398"/>
      <c r="F77" s="398"/>
      <c r="G77" s="398"/>
      <c r="H77" s="398"/>
      <c r="I77" s="398"/>
      <c r="J77" s="398"/>
      <c r="K77" s="398"/>
      <c r="L77" s="458"/>
      <c r="M77" s="53"/>
      <c r="N77" s="447">
        <v>0</v>
      </c>
      <c r="O77" s="443">
        <v>0</v>
      </c>
      <c r="P77" s="53"/>
      <c r="Q77" s="329" t="s">
        <v>845</v>
      </c>
      <c r="R77" s="329" t="s">
        <v>51</v>
      </c>
      <c r="S77" s="329" t="s">
        <v>46</v>
      </c>
      <c r="T77" s="329" t="s">
        <v>768</v>
      </c>
      <c r="U77" s="329" t="s">
        <v>824</v>
      </c>
      <c r="V77" s="329" t="s">
        <v>50</v>
      </c>
      <c r="W77" s="329" t="s">
        <v>52</v>
      </c>
      <c r="X77" s="329" t="s">
        <v>846</v>
      </c>
      <c r="Y77" s="329" t="s">
        <v>849</v>
      </c>
      <c r="AA77" s="435">
        <v>3</v>
      </c>
      <c r="AB77" s="425">
        <v>4</v>
      </c>
      <c r="AC77" s="436">
        <v>1</v>
      </c>
      <c r="AD77" s="425">
        <v>5</v>
      </c>
      <c r="AE77" s="436">
        <v>2</v>
      </c>
      <c r="AF77" s="425">
        <v>6</v>
      </c>
      <c r="AG77" s="436">
        <v>3</v>
      </c>
      <c r="AH77" s="425">
        <v>7</v>
      </c>
      <c r="AM77" s="425">
        <f t="shared" si="10"/>
        <v>109</v>
      </c>
      <c r="AN77" s="425">
        <f t="shared" si="25"/>
        <v>0</v>
      </c>
      <c r="AO77" s="425" t="str">
        <f t="shared" si="26"/>
        <v/>
      </c>
      <c r="AP77" s="425"/>
      <c r="AQ77" s="425"/>
      <c r="AR77" s="425"/>
    </row>
    <row r="78" spans="1:81" s="396" customFormat="1" ht="18.5" x14ac:dyDescent="0.45">
      <c r="A78" s="461">
        <v>60</v>
      </c>
      <c r="B78" s="406" t="str">
        <f t="shared" si="6"/>
        <v/>
      </c>
      <c r="C78" s="398"/>
      <c r="D78" s="398"/>
      <c r="E78" s="398"/>
      <c r="F78" s="398"/>
      <c r="G78" s="398"/>
      <c r="H78" s="398"/>
      <c r="I78" s="398"/>
      <c r="J78" s="398"/>
      <c r="K78" s="398"/>
      <c r="L78" s="458"/>
      <c r="M78" s="53"/>
      <c r="N78" s="447">
        <f>IF(O78=O77,0,O78)</f>
        <v>0</v>
      </c>
      <c r="O78" s="443">
        <f>IF(P78&lt;&gt;"",1+O77,O77)</f>
        <v>0</v>
      </c>
      <c r="P78" s="448" t="str">
        <f>IF(ISERROR(VLOOKUP(AM46-AM$45,$AN$46:$AO$85,2,FALSE)),"",VLOOKUP(AM46-AM$45,$AN$46:$AO$85,2,FALSE))</f>
        <v/>
      </c>
      <c r="Q78" s="449" t="str">
        <f t="shared" ref="Q78:Q116" si="34">IF(P78&lt;&gt;"",IF(ISERROR(VLOOKUP($P78,$BK$45:$BL$74,2,FALSE)),VLOOKUP($P78,$BW$45:$BX$74,2,FALSE),VLOOKUP($P78,$BK$45:$BL$74,2,FALSE)),"")</f>
        <v/>
      </c>
      <c r="R78" s="449" t="str">
        <f t="shared" ref="R78:R117" si="35">IF($P78&lt;&gt;"",IF(ISERROR(VLOOKUP($P78,$BK$45:$BS$74,3,FALSE)),"",VLOOKUP($P78,$BK$45:$BS$74,3,FALSE)),"")</f>
        <v/>
      </c>
      <c r="S78" s="449" t="str">
        <f t="shared" ref="S78:S117" si="36">IF($P78&lt;&gt;"",IF(ISERROR(VLOOKUP($P78,$BK$45:$BS$74,4,FALSE)),"",VLOOKUP($P78,$BK$45:$BS$74,4,FALSE)),"")</f>
        <v/>
      </c>
      <c r="T78" s="449" t="str">
        <f t="shared" ref="T78:T113" si="37">IF($P78&lt;&gt;"",IF(ISERROR(VLOOKUP($P78,$BK$45:$BS$74,5,FALSE)),"",VLOOKUP($P78,$BK$45:$BS$74,5,FALSE)),"")</f>
        <v/>
      </c>
      <c r="U78" s="449" t="str">
        <f t="shared" ref="U78:U113" si="38">IF($P78&lt;&gt;"",IF(ISERROR(VLOOKUP($P78,$BK$45:$BS$74,6,FALSE)),"",VLOOKUP($P78,$BK$45:$BS$74,6,FALSE)),"")</f>
        <v/>
      </c>
      <c r="V78" s="449" t="str">
        <f t="shared" ref="V78:V117" si="39">IF($P78&lt;&gt;"",IF(ISERROR(VLOOKUP($P78,$BK$45:$BS$74,7,FALSE)),"",VLOOKUP($P78,$BK$45:$BS$74,7,FALSE)),"")</f>
        <v/>
      </c>
      <c r="W78" s="449" t="str">
        <f t="shared" ref="W78:W117" si="40">IF($P78&lt;&gt;"",IF(ISERROR(VLOOKUP($P78,$BK$45:$BS$74,8,FALSE)),"",VLOOKUP($P78,$BK$45:$BS$74,8,FALSE)),"")</f>
        <v/>
      </c>
      <c r="X78" s="450" t="str">
        <f t="shared" ref="X78:X117" si="41">IF(P78&lt;&gt;"",IF(ISERROR(VLOOKUP($P78,$BK$45:$BT$74,10,FALSE)),VLOOKUP($P78,$BW$45:$BZ$74,4,FALSE),VLOOKUP($P78,$BK$45:$BT$74,10,FALSE)),"")</f>
        <v/>
      </c>
      <c r="Y78" s="450" t="str">
        <f t="shared" ref="Y78:Y117" si="42">IF(P78&lt;&gt;"",IF(ISERROR(VLOOKUP($P78,$BK$45:$BT$74,9,FALSE)),VLOOKUP($P78,$BW$45:$BZ$74,3,FALSE),VLOOKUP($P78,$BK$45:$BT$74,9,FALSE)),"")</f>
        <v/>
      </c>
      <c r="AA78" s="435">
        <v>4</v>
      </c>
      <c r="AB78" s="436">
        <v>1</v>
      </c>
      <c r="AC78" s="425">
        <v>5</v>
      </c>
      <c r="AD78" s="436">
        <v>2</v>
      </c>
      <c r="AE78" s="425">
        <v>6</v>
      </c>
      <c r="AF78" s="436">
        <v>3</v>
      </c>
      <c r="AG78" s="425">
        <v>7</v>
      </c>
      <c r="AH78" s="436">
        <v>4</v>
      </c>
      <c r="AM78" s="425">
        <f t="shared" si="10"/>
        <v>110</v>
      </c>
      <c r="AN78" s="425">
        <f t="shared" ref="AN78:AN81" si="43">AQ58</f>
        <v>0</v>
      </c>
      <c r="AO78" s="425" t="str">
        <f t="shared" si="26"/>
        <v/>
      </c>
      <c r="AP78" s="425"/>
      <c r="AQ78" s="425"/>
      <c r="AR78" s="425"/>
    </row>
    <row r="79" spans="1:81" s="396" customFormat="1" ht="18.5" x14ac:dyDescent="0.45">
      <c r="A79" s="461">
        <v>61</v>
      </c>
      <c r="B79" s="406" t="str">
        <f t="shared" si="6"/>
        <v/>
      </c>
      <c r="C79" s="398"/>
      <c r="D79" s="398"/>
      <c r="E79" s="398"/>
      <c r="F79" s="398"/>
      <c r="G79" s="398"/>
      <c r="H79" s="398"/>
      <c r="I79" s="398"/>
      <c r="J79" s="398"/>
      <c r="K79" s="398"/>
      <c r="L79" s="458"/>
      <c r="M79" s="53"/>
      <c r="N79" s="447">
        <f t="shared" ref="N79:N117" si="44">IF(O79=O78,0,O79)</f>
        <v>0</v>
      </c>
      <c r="O79" s="443">
        <f t="shared" ref="O79:O117" si="45">IF(P79&lt;&gt;"",1+O78,O78)</f>
        <v>0</v>
      </c>
      <c r="P79" s="448" t="str">
        <f t="shared" ref="P79:P117" si="46">IF(ISERROR(VLOOKUP(AM47-AM$45,$AN$46:$AO$85,2,FALSE)),"",VLOOKUP(AM47-AM$45,$AN$46:$AO$85,2,FALSE))</f>
        <v/>
      </c>
      <c r="Q79" s="449" t="str">
        <f t="shared" si="34"/>
        <v/>
      </c>
      <c r="R79" s="449" t="str">
        <f t="shared" si="35"/>
        <v/>
      </c>
      <c r="S79" s="449" t="str">
        <f t="shared" si="36"/>
        <v/>
      </c>
      <c r="T79" s="449" t="str">
        <f t="shared" si="37"/>
        <v/>
      </c>
      <c r="U79" s="449" t="str">
        <f t="shared" si="38"/>
        <v/>
      </c>
      <c r="V79" s="449" t="str">
        <f t="shared" si="39"/>
        <v/>
      </c>
      <c r="W79" s="449" t="str">
        <f t="shared" si="40"/>
        <v/>
      </c>
      <c r="X79" s="450" t="str">
        <f t="shared" si="41"/>
        <v/>
      </c>
      <c r="Y79" s="450" t="str">
        <f t="shared" si="42"/>
        <v/>
      </c>
      <c r="AA79" s="435">
        <v>5</v>
      </c>
      <c r="AB79" s="425">
        <v>6</v>
      </c>
      <c r="AC79" s="436">
        <v>1</v>
      </c>
      <c r="AD79" s="436">
        <v>2</v>
      </c>
      <c r="AE79" s="436">
        <v>3</v>
      </c>
      <c r="AF79" s="436">
        <v>4</v>
      </c>
      <c r="AG79" s="436">
        <v>5</v>
      </c>
      <c r="AH79" s="425">
        <v>7</v>
      </c>
      <c r="AM79" s="425">
        <f t="shared" si="10"/>
        <v>111</v>
      </c>
      <c r="AN79" s="425">
        <f t="shared" si="43"/>
        <v>0</v>
      </c>
      <c r="AO79" s="425" t="str">
        <f t="shared" si="26"/>
        <v/>
      </c>
      <c r="AP79" s="425"/>
      <c r="AQ79" s="425"/>
      <c r="AR79" s="425"/>
    </row>
    <row r="80" spans="1:81" s="396" customFormat="1" ht="18.5" x14ac:dyDescent="0.45">
      <c r="A80" s="461">
        <v>62</v>
      </c>
      <c r="B80" s="406" t="str">
        <f t="shared" si="6"/>
        <v/>
      </c>
      <c r="C80" s="398"/>
      <c r="D80" s="398"/>
      <c r="E80" s="398"/>
      <c r="F80" s="398"/>
      <c r="G80" s="398"/>
      <c r="H80" s="398"/>
      <c r="I80" s="398"/>
      <c r="J80" s="398"/>
      <c r="K80" s="398"/>
      <c r="L80" s="458"/>
      <c r="M80" s="53"/>
      <c r="N80" s="447">
        <f t="shared" si="44"/>
        <v>0</v>
      </c>
      <c r="O80" s="443">
        <f t="shared" si="45"/>
        <v>0</v>
      </c>
      <c r="P80" s="448" t="str">
        <f t="shared" si="46"/>
        <v/>
      </c>
      <c r="Q80" s="449" t="str">
        <f t="shared" si="34"/>
        <v/>
      </c>
      <c r="R80" s="449" t="str">
        <f t="shared" si="35"/>
        <v/>
      </c>
      <c r="S80" s="449" t="str">
        <f t="shared" si="36"/>
        <v/>
      </c>
      <c r="T80" s="449" t="str">
        <f t="shared" si="37"/>
        <v/>
      </c>
      <c r="U80" s="449" t="str">
        <f t="shared" si="38"/>
        <v/>
      </c>
      <c r="V80" s="449" t="str">
        <f t="shared" si="39"/>
        <v/>
      </c>
      <c r="W80" s="449" t="str">
        <f t="shared" si="40"/>
        <v/>
      </c>
      <c r="X80" s="450" t="str">
        <f t="shared" si="41"/>
        <v/>
      </c>
      <c r="Y80" s="450" t="str">
        <f t="shared" si="42"/>
        <v/>
      </c>
      <c r="AA80" s="435">
        <v>6</v>
      </c>
      <c r="AB80" s="436">
        <v>1</v>
      </c>
      <c r="AC80" s="436">
        <v>2</v>
      </c>
      <c r="AD80" s="436">
        <v>3</v>
      </c>
      <c r="AE80" s="436">
        <v>4</v>
      </c>
      <c r="AF80" s="436">
        <v>5</v>
      </c>
      <c r="AG80" s="436">
        <v>6</v>
      </c>
      <c r="AH80" s="425">
        <v>7</v>
      </c>
      <c r="AM80" s="425">
        <f t="shared" si="10"/>
        <v>112</v>
      </c>
      <c r="AN80" s="425">
        <f t="shared" si="43"/>
        <v>0</v>
      </c>
      <c r="AO80" s="425" t="str">
        <f t="shared" si="26"/>
        <v/>
      </c>
      <c r="AP80" s="425"/>
      <c r="AQ80" s="425"/>
      <c r="AR80" s="425"/>
    </row>
    <row r="81" spans="1:45" s="396" customFormat="1" ht="18.5" x14ac:dyDescent="0.45">
      <c r="A81" s="461">
        <v>63</v>
      </c>
      <c r="B81" s="406" t="str">
        <f t="shared" si="6"/>
        <v/>
      </c>
      <c r="C81" s="398"/>
      <c r="D81" s="398"/>
      <c r="E81" s="398"/>
      <c r="F81" s="398"/>
      <c r="G81" s="398"/>
      <c r="H81" s="398"/>
      <c r="I81" s="398"/>
      <c r="J81" s="398"/>
      <c r="K81" s="398"/>
      <c r="L81" s="458"/>
      <c r="M81" s="53"/>
      <c r="N81" s="447">
        <f t="shared" si="44"/>
        <v>0</v>
      </c>
      <c r="O81" s="443">
        <f t="shared" si="45"/>
        <v>0</v>
      </c>
      <c r="P81" s="448" t="str">
        <f t="shared" si="46"/>
        <v/>
      </c>
      <c r="Q81" s="449" t="str">
        <f t="shared" si="34"/>
        <v/>
      </c>
      <c r="R81" s="449" t="str">
        <f t="shared" si="35"/>
        <v/>
      </c>
      <c r="S81" s="449" t="str">
        <f t="shared" si="36"/>
        <v/>
      </c>
      <c r="T81" s="449" t="str">
        <f t="shared" si="37"/>
        <v/>
      </c>
      <c r="U81" s="449" t="str">
        <f t="shared" si="38"/>
        <v/>
      </c>
      <c r="V81" s="449" t="str">
        <f t="shared" si="39"/>
        <v/>
      </c>
      <c r="W81" s="449" t="str">
        <f t="shared" si="40"/>
        <v/>
      </c>
      <c r="X81" s="450" t="str">
        <f t="shared" si="41"/>
        <v/>
      </c>
      <c r="Y81" s="450" t="str">
        <f t="shared" si="42"/>
        <v/>
      </c>
      <c r="AA81" s="435">
        <v>7</v>
      </c>
      <c r="AB81" s="436">
        <v>1</v>
      </c>
      <c r="AC81" s="436">
        <v>2</v>
      </c>
      <c r="AD81" s="436">
        <v>3</v>
      </c>
      <c r="AE81" s="436">
        <v>4</v>
      </c>
      <c r="AF81" s="436">
        <v>5</v>
      </c>
      <c r="AG81" s="436">
        <v>6</v>
      </c>
      <c r="AH81" s="436">
        <v>7</v>
      </c>
      <c r="AM81" s="425">
        <f t="shared" si="10"/>
        <v>113</v>
      </c>
      <c r="AN81" s="425">
        <f t="shared" si="43"/>
        <v>0</v>
      </c>
      <c r="AO81" s="425" t="str">
        <f t="shared" si="26"/>
        <v/>
      </c>
      <c r="AP81" s="425"/>
      <c r="AQ81" s="425"/>
      <c r="AR81" s="425"/>
    </row>
    <row r="82" spans="1:45" s="396" customFormat="1" x14ac:dyDescent="0.35">
      <c r="A82" s="461">
        <v>64</v>
      </c>
      <c r="B82" s="406" t="str">
        <f t="shared" si="6"/>
        <v/>
      </c>
      <c r="C82" s="398"/>
      <c r="D82" s="398"/>
      <c r="E82" s="398"/>
      <c r="F82" s="398"/>
      <c r="G82" s="398"/>
      <c r="H82" s="398"/>
      <c r="I82" s="398"/>
      <c r="J82" s="398"/>
      <c r="K82" s="398"/>
      <c r="L82" s="458"/>
      <c r="M82" s="53"/>
      <c r="N82" s="447">
        <f t="shared" si="44"/>
        <v>0</v>
      </c>
      <c r="O82" s="443">
        <f t="shared" si="45"/>
        <v>0</v>
      </c>
      <c r="P82" s="448" t="str">
        <f t="shared" si="46"/>
        <v/>
      </c>
      <c r="Q82" s="449" t="str">
        <f t="shared" si="34"/>
        <v/>
      </c>
      <c r="R82" s="449" t="str">
        <f t="shared" si="35"/>
        <v/>
      </c>
      <c r="S82" s="449" t="str">
        <f t="shared" si="36"/>
        <v/>
      </c>
      <c r="T82" s="449" t="str">
        <f t="shared" si="37"/>
        <v/>
      </c>
      <c r="U82" s="449" t="str">
        <f t="shared" si="38"/>
        <v/>
      </c>
      <c r="V82" s="449" t="str">
        <f t="shared" si="39"/>
        <v/>
      </c>
      <c r="W82" s="449" t="str">
        <f t="shared" si="40"/>
        <v/>
      </c>
      <c r="X82" s="450" t="str">
        <f t="shared" si="41"/>
        <v/>
      </c>
      <c r="Y82" s="450" t="str">
        <f t="shared" si="42"/>
        <v/>
      </c>
      <c r="AM82" s="425">
        <f t="shared" si="10"/>
        <v>114</v>
      </c>
      <c r="AN82" s="425">
        <f>AQ62</f>
        <v>0</v>
      </c>
      <c r="AO82" s="425" t="str">
        <f t="shared" si="26"/>
        <v/>
      </c>
      <c r="AP82" s="425"/>
      <c r="AQ82" s="425"/>
      <c r="AR82" s="425"/>
    </row>
    <row r="83" spans="1:45" s="396" customFormat="1" x14ac:dyDescent="0.35">
      <c r="A83" s="461">
        <v>65</v>
      </c>
      <c r="B83" s="406" t="str">
        <f t="shared" si="6"/>
        <v/>
      </c>
      <c r="C83" s="398"/>
      <c r="D83" s="398"/>
      <c r="E83" s="398"/>
      <c r="F83" s="398"/>
      <c r="G83" s="398"/>
      <c r="H83" s="398"/>
      <c r="I83" s="398"/>
      <c r="J83" s="398"/>
      <c r="K83" s="398"/>
      <c r="L83" s="458"/>
      <c r="M83" s="53" t="s">
        <v>844</v>
      </c>
      <c r="N83" s="447">
        <f t="shared" si="44"/>
        <v>0</v>
      </c>
      <c r="O83" s="443">
        <f t="shared" si="45"/>
        <v>0</v>
      </c>
      <c r="P83" s="448" t="str">
        <f t="shared" si="46"/>
        <v/>
      </c>
      <c r="Q83" s="449" t="str">
        <f t="shared" si="34"/>
        <v/>
      </c>
      <c r="R83" s="449" t="str">
        <f t="shared" si="35"/>
        <v/>
      </c>
      <c r="S83" s="449" t="str">
        <f t="shared" si="36"/>
        <v/>
      </c>
      <c r="T83" s="449" t="str">
        <f t="shared" si="37"/>
        <v/>
      </c>
      <c r="U83" s="449" t="str">
        <f t="shared" si="38"/>
        <v/>
      </c>
      <c r="V83" s="449" t="str">
        <f t="shared" si="39"/>
        <v/>
      </c>
      <c r="W83" s="449" t="str">
        <f t="shared" si="40"/>
        <v/>
      </c>
      <c r="X83" s="450" t="str">
        <f t="shared" si="41"/>
        <v/>
      </c>
      <c r="Y83" s="450" t="str">
        <f t="shared" si="42"/>
        <v/>
      </c>
      <c r="AM83" s="425">
        <f t="shared" si="10"/>
        <v>115</v>
      </c>
      <c r="AN83" s="425">
        <f t="shared" ref="AN83:AN84" si="47">AQ63</f>
        <v>0</v>
      </c>
      <c r="AO83" s="425" t="str">
        <f t="shared" si="26"/>
        <v/>
      </c>
      <c r="AP83" s="425"/>
      <c r="AQ83" s="425"/>
      <c r="AR83" s="425"/>
    </row>
    <row r="84" spans="1:45" s="396" customFormat="1" x14ac:dyDescent="0.35">
      <c r="A84" s="398"/>
      <c r="B84" s="398"/>
      <c r="C84" s="398"/>
      <c r="D84" s="398"/>
      <c r="E84" s="398"/>
      <c r="F84" s="398"/>
      <c r="G84" s="398"/>
      <c r="H84" s="398"/>
      <c r="I84" s="398"/>
      <c r="J84" s="398"/>
      <c r="K84" s="398"/>
      <c r="L84" s="458"/>
      <c r="M84" s="53"/>
      <c r="N84" s="447">
        <f t="shared" si="44"/>
        <v>0</v>
      </c>
      <c r="O84" s="443">
        <f t="shared" si="45"/>
        <v>0</v>
      </c>
      <c r="P84" s="448" t="str">
        <f t="shared" si="46"/>
        <v/>
      </c>
      <c r="Q84" s="449" t="str">
        <f t="shared" si="34"/>
        <v/>
      </c>
      <c r="R84" s="449" t="str">
        <f t="shared" si="35"/>
        <v/>
      </c>
      <c r="S84" s="449" t="str">
        <f t="shared" si="36"/>
        <v/>
      </c>
      <c r="T84" s="449" t="str">
        <f t="shared" si="37"/>
        <v/>
      </c>
      <c r="U84" s="449" t="str">
        <f t="shared" si="38"/>
        <v/>
      </c>
      <c r="V84" s="449" t="str">
        <f t="shared" si="39"/>
        <v/>
      </c>
      <c r="W84" s="449" t="str">
        <f t="shared" si="40"/>
        <v/>
      </c>
      <c r="X84" s="450" t="str">
        <f t="shared" si="41"/>
        <v/>
      </c>
      <c r="Y84" s="450" t="str">
        <f t="shared" si="42"/>
        <v/>
      </c>
      <c r="AM84" s="425">
        <f t="shared" si="10"/>
        <v>116</v>
      </c>
      <c r="AN84" s="425">
        <f t="shared" si="47"/>
        <v>0</v>
      </c>
      <c r="AO84" s="425" t="str">
        <f t="shared" si="26"/>
        <v/>
      </c>
      <c r="AP84" s="425"/>
      <c r="AQ84" s="425"/>
      <c r="AR84" s="425"/>
    </row>
    <row r="85" spans="1:45" s="396" customFormat="1" x14ac:dyDescent="0.35">
      <c r="A85" s="461"/>
      <c r="B85" s="397"/>
      <c r="C85" s="398"/>
      <c r="D85" s="398"/>
      <c r="E85" s="398"/>
      <c r="F85" s="398"/>
      <c r="G85" s="398"/>
      <c r="H85" s="398"/>
      <c r="I85" s="398"/>
      <c r="J85" s="398"/>
      <c r="K85" s="398"/>
      <c r="L85" s="458"/>
      <c r="M85" s="53"/>
      <c r="N85" s="447">
        <f t="shared" si="44"/>
        <v>0</v>
      </c>
      <c r="O85" s="443">
        <f t="shared" si="45"/>
        <v>0</v>
      </c>
      <c r="P85" s="448" t="str">
        <f t="shared" si="46"/>
        <v/>
      </c>
      <c r="Q85" s="449" t="str">
        <f t="shared" si="34"/>
        <v/>
      </c>
      <c r="R85" s="449" t="str">
        <f t="shared" si="35"/>
        <v/>
      </c>
      <c r="S85" s="449" t="str">
        <f t="shared" si="36"/>
        <v/>
      </c>
      <c r="T85" s="449" t="str">
        <f t="shared" si="37"/>
        <v/>
      </c>
      <c r="U85" s="449" t="str">
        <f t="shared" si="38"/>
        <v/>
      </c>
      <c r="V85" s="449" t="str">
        <f t="shared" si="39"/>
        <v/>
      </c>
      <c r="W85" s="449" t="str">
        <f t="shared" si="40"/>
        <v/>
      </c>
      <c r="X85" s="450" t="str">
        <f t="shared" si="41"/>
        <v/>
      </c>
      <c r="Y85" s="450" t="str">
        <f t="shared" si="42"/>
        <v/>
      </c>
      <c r="AM85" s="425">
        <f t="shared" si="10"/>
        <v>117</v>
      </c>
      <c r="AN85" s="425">
        <f>AQ65</f>
        <v>0</v>
      </c>
      <c r="AO85" s="425" t="str">
        <f t="shared" si="26"/>
        <v/>
      </c>
      <c r="AP85" s="425"/>
      <c r="AQ85" s="425"/>
      <c r="AR85" s="425"/>
    </row>
    <row r="86" spans="1:45" s="396" customFormat="1" x14ac:dyDescent="0.35">
      <c r="A86" s="461"/>
      <c r="B86" s="397"/>
      <c r="C86" s="398"/>
      <c r="D86" s="398"/>
      <c r="E86" s="398"/>
      <c r="F86" s="398"/>
      <c r="G86" s="398"/>
      <c r="H86" s="398"/>
      <c r="I86" s="398"/>
      <c r="J86" s="398"/>
      <c r="K86" s="398"/>
      <c r="L86" s="458"/>
      <c r="M86" s="53"/>
      <c r="N86" s="447">
        <f t="shared" si="44"/>
        <v>0</v>
      </c>
      <c r="O86" s="443">
        <f t="shared" si="45"/>
        <v>0</v>
      </c>
      <c r="P86" s="448" t="str">
        <f t="shared" si="46"/>
        <v/>
      </c>
      <c r="Q86" s="449" t="str">
        <f t="shared" si="34"/>
        <v/>
      </c>
      <c r="R86" s="449" t="str">
        <f t="shared" si="35"/>
        <v/>
      </c>
      <c r="S86" s="449" t="str">
        <f t="shared" si="36"/>
        <v/>
      </c>
      <c r="T86" s="449" t="str">
        <f t="shared" si="37"/>
        <v/>
      </c>
      <c r="U86" s="449" t="str">
        <f t="shared" si="38"/>
        <v/>
      </c>
      <c r="V86" s="449" t="str">
        <f t="shared" si="39"/>
        <v/>
      </c>
      <c r="W86" s="449" t="str">
        <f t="shared" si="40"/>
        <v/>
      </c>
      <c r="X86" s="450" t="str">
        <f t="shared" si="41"/>
        <v/>
      </c>
      <c r="Y86" s="450" t="str">
        <f t="shared" si="42"/>
        <v/>
      </c>
    </row>
    <row r="87" spans="1:45" s="396" customFormat="1" x14ac:dyDescent="0.35">
      <c r="A87" s="461"/>
      <c r="B87" s="397"/>
      <c r="C87" s="398"/>
      <c r="D87" s="398"/>
      <c r="E87" s="398"/>
      <c r="F87" s="398"/>
      <c r="G87" s="398"/>
      <c r="H87" s="398"/>
      <c r="I87" s="398"/>
      <c r="J87" s="398"/>
      <c r="K87" s="398"/>
      <c r="L87" s="458"/>
      <c r="M87" s="53"/>
      <c r="N87" s="447">
        <f t="shared" si="44"/>
        <v>0</v>
      </c>
      <c r="O87" s="443">
        <f t="shared" si="45"/>
        <v>0</v>
      </c>
      <c r="P87" s="448" t="str">
        <f t="shared" si="46"/>
        <v/>
      </c>
      <c r="Q87" s="449" t="str">
        <f t="shared" si="34"/>
        <v/>
      </c>
      <c r="R87" s="449" t="str">
        <f t="shared" si="35"/>
        <v/>
      </c>
      <c r="S87" s="449" t="str">
        <f t="shared" si="36"/>
        <v/>
      </c>
      <c r="T87" s="449" t="str">
        <f t="shared" si="37"/>
        <v/>
      </c>
      <c r="U87" s="449" t="str">
        <f t="shared" si="38"/>
        <v/>
      </c>
      <c r="V87" s="449" t="str">
        <f t="shared" si="39"/>
        <v/>
      </c>
      <c r="W87" s="449" t="str">
        <f t="shared" si="40"/>
        <v/>
      </c>
      <c r="X87" s="450" t="str">
        <f t="shared" si="41"/>
        <v/>
      </c>
      <c r="Y87" s="450" t="str">
        <f t="shared" si="42"/>
        <v/>
      </c>
    </row>
    <row r="88" spans="1:45" s="396" customFormat="1" x14ac:dyDescent="0.35">
      <c r="A88" s="461"/>
      <c r="B88" s="397"/>
      <c r="C88" s="398"/>
      <c r="D88" s="398"/>
      <c r="E88" s="398"/>
      <c r="F88" s="398"/>
      <c r="G88" s="398"/>
      <c r="H88" s="398"/>
      <c r="I88" s="398"/>
      <c r="J88" s="398"/>
      <c r="K88" s="398"/>
      <c r="L88" s="458"/>
      <c r="M88" s="53"/>
      <c r="N88" s="447">
        <f t="shared" si="44"/>
        <v>0</v>
      </c>
      <c r="O88" s="443">
        <f t="shared" si="45"/>
        <v>0</v>
      </c>
      <c r="P88" s="448" t="str">
        <f t="shared" si="46"/>
        <v/>
      </c>
      <c r="Q88" s="449" t="str">
        <f t="shared" si="34"/>
        <v/>
      </c>
      <c r="R88" s="449" t="str">
        <f t="shared" si="35"/>
        <v/>
      </c>
      <c r="S88" s="449" t="str">
        <f t="shared" si="36"/>
        <v/>
      </c>
      <c r="T88" s="449" t="str">
        <f t="shared" si="37"/>
        <v/>
      </c>
      <c r="U88" s="449" t="str">
        <f t="shared" si="38"/>
        <v/>
      </c>
      <c r="V88" s="449" t="str">
        <f t="shared" si="39"/>
        <v/>
      </c>
      <c r="W88" s="449" t="str">
        <f t="shared" si="40"/>
        <v/>
      </c>
      <c r="X88" s="450" t="str">
        <f t="shared" si="41"/>
        <v/>
      </c>
      <c r="Y88" s="450" t="str">
        <f t="shared" si="42"/>
        <v/>
      </c>
    </row>
    <row r="89" spans="1:45" s="396" customFormat="1" x14ac:dyDescent="0.35">
      <c r="A89" s="461"/>
      <c r="B89" s="397"/>
      <c r="C89" s="398"/>
      <c r="D89" s="398"/>
      <c r="E89" s="398"/>
      <c r="F89" s="398"/>
      <c r="G89" s="398"/>
      <c r="H89" s="398"/>
      <c r="I89" s="398"/>
      <c r="J89" s="398"/>
      <c r="K89" s="398"/>
      <c r="L89" s="458"/>
      <c r="M89" s="53"/>
      <c r="N89" s="447">
        <f t="shared" si="44"/>
        <v>0</v>
      </c>
      <c r="O89" s="443">
        <f t="shared" si="45"/>
        <v>0</v>
      </c>
      <c r="P89" s="448" t="str">
        <f t="shared" si="46"/>
        <v/>
      </c>
      <c r="Q89" s="449" t="str">
        <f t="shared" si="34"/>
        <v/>
      </c>
      <c r="R89" s="449" t="str">
        <f t="shared" si="35"/>
        <v/>
      </c>
      <c r="S89" s="449" t="str">
        <f t="shared" si="36"/>
        <v/>
      </c>
      <c r="T89" s="449" t="str">
        <f t="shared" si="37"/>
        <v/>
      </c>
      <c r="U89" s="449" t="str">
        <f t="shared" si="38"/>
        <v/>
      </c>
      <c r="V89" s="449" t="str">
        <f t="shared" si="39"/>
        <v/>
      </c>
      <c r="W89" s="449" t="str">
        <f t="shared" si="40"/>
        <v/>
      </c>
      <c r="X89" s="450" t="str">
        <f t="shared" si="41"/>
        <v/>
      </c>
      <c r="Y89" s="450" t="str">
        <f t="shared" si="42"/>
        <v/>
      </c>
    </row>
    <row r="90" spans="1:45" s="396" customFormat="1" x14ac:dyDescent="0.35">
      <c r="A90" s="461"/>
      <c r="B90" s="397"/>
      <c r="C90" s="398"/>
      <c r="D90" s="398"/>
      <c r="E90" s="398"/>
      <c r="F90" s="398"/>
      <c r="G90" s="398"/>
      <c r="H90" s="398"/>
      <c r="I90" s="398"/>
      <c r="J90" s="398"/>
      <c r="K90" s="398"/>
      <c r="L90" s="458"/>
      <c r="M90" s="53"/>
      <c r="N90" s="447">
        <f t="shared" si="44"/>
        <v>0</v>
      </c>
      <c r="O90" s="443">
        <f t="shared" si="45"/>
        <v>0</v>
      </c>
      <c r="P90" s="448" t="str">
        <f t="shared" si="46"/>
        <v/>
      </c>
      <c r="Q90" s="449" t="str">
        <f t="shared" si="34"/>
        <v/>
      </c>
      <c r="R90" s="449" t="str">
        <f t="shared" si="35"/>
        <v/>
      </c>
      <c r="S90" s="449" t="str">
        <f t="shared" si="36"/>
        <v/>
      </c>
      <c r="T90" s="449" t="str">
        <f t="shared" si="37"/>
        <v/>
      </c>
      <c r="U90" s="449" t="str">
        <f t="shared" si="38"/>
        <v/>
      </c>
      <c r="V90" s="449" t="str">
        <f t="shared" si="39"/>
        <v/>
      </c>
      <c r="W90" s="449" t="str">
        <f t="shared" si="40"/>
        <v/>
      </c>
      <c r="X90" s="450" t="str">
        <f t="shared" si="41"/>
        <v/>
      </c>
      <c r="Y90" s="450" t="str">
        <f t="shared" si="42"/>
        <v/>
      </c>
    </row>
    <row r="91" spans="1:45" s="396" customFormat="1" x14ac:dyDescent="0.35">
      <c r="A91" s="461"/>
      <c r="B91" s="397"/>
      <c r="C91" s="398"/>
      <c r="D91" s="398"/>
      <c r="E91" s="398"/>
      <c r="F91" s="398"/>
      <c r="G91" s="398"/>
      <c r="H91" s="398"/>
      <c r="I91" s="398"/>
      <c r="J91" s="398"/>
      <c r="K91" s="398"/>
      <c r="L91" s="458"/>
      <c r="M91" s="53"/>
      <c r="N91" s="447">
        <f t="shared" si="44"/>
        <v>0</v>
      </c>
      <c r="O91" s="443">
        <f t="shared" si="45"/>
        <v>0</v>
      </c>
      <c r="P91" s="448" t="str">
        <f t="shared" si="46"/>
        <v/>
      </c>
      <c r="Q91" s="449" t="str">
        <f t="shared" si="34"/>
        <v/>
      </c>
      <c r="R91" s="449" t="str">
        <f t="shared" si="35"/>
        <v/>
      </c>
      <c r="S91" s="449" t="str">
        <f t="shared" si="36"/>
        <v/>
      </c>
      <c r="T91" s="449" t="str">
        <f t="shared" si="37"/>
        <v/>
      </c>
      <c r="U91" s="449" t="str">
        <f t="shared" si="38"/>
        <v/>
      </c>
      <c r="V91" s="449" t="str">
        <f t="shared" si="39"/>
        <v/>
      </c>
      <c r="W91" s="449" t="str">
        <f t="shared" si="40"/>
        <v/>
      </c>
      <c r="X91" s="450" t="str">
        <f t="shared" si="41"/>
        <v/>
      </c>
      <c r="Y91" s="450" t="str">
        <f t="shared" si="42"/>
        <v/>
      </c>
    </row>
    <row r="92" spans="1:45" s="396" customFormat="1" x14ac:dyDescent="0.35">
      <c r="A92" s="461"/>
      <c r="B92" s="397"/>
      <c r="C92" s="398"/>
      <c r="D92" s="398"/>
      <c r="E92" s="398"/>
      <c r="F92" s="398"/>
      <c r="G92" s="398"/>
      <c r="H92" s="398"/>
      <c r="I92" s="398"/>
      <c r="J92" s="398"/>
      <c r="K92" s="398"/>
      <c r="L92" s="458"/>
      <c r="M92" s="53"/>
      <c r="N92" s="447">
        <f t="shared" si="44"/>
        <v>0</v>
      </c>
      <c r="O92" s="443">
        <f t="shared" si="45"/>
        <v>0</v>
      </c>
      <c r="P92" s="448" t="str">
        <f>IF(ISERROR(VLOOKUP(AM60-AM$45,$AN$46:$AO$85,2,FALSE)),"",VLOOKUP(AM60-AM$45,$AN$46:$AO$85,2,FALSE))</f>
        <v/>
      </c>
      <c r="Q92" s="449" t="str">
        <f t="shared" si="34"/>
        <v/>
      </c>
      <c r="R92" s="449" t="str">
        <f t="shared" si="35"/>
        <v/>
      </c>
      <c r="S92" s="449" t="str">
        <f t="shared" si="36"/>
        <v/>
      </c>
      <c r="T92" s="449" t="str">
        <f t="shared" si="37"/>
        <v/>
      </c>
      <c r="U92" s="449" t="str">
        <f t="shared" si="38"/>
        <v/>
      </c>
      <c r="V92" s="449" t="str">
        <f t="shared" si="39"/>
        <v/>
      </c>
      <c r="W92" s="449" t="str">
        <f t="shared" si="40"/>
        <v/>
      </c>
      <c r="X92" s="450" t="str">
        <f t="shared" si="41"/>
        <v/>
      </c>
      <c r="Y92" s="450" t="str">
        <f t="shared" si="42"/>
        <v/>
      </c>
    </row>
    <row r="93" spans="1:45" s="396" customFormat="1" x14ac:dyDescent="0.35">
      <c r="A93" s="461"/>
      <c r="B93" s="397"/>
      <c r="C93" s="398"/>
      <c r="D93" s="398"/>
      <c r="E93" s="398"/>
      <c r="F93" s="398"/>
      <c r="G93" s="398"/>
      <c r="H93" s="398"/>
      <c r="I93" s="398"/>
      <c r="J93" s="398"/>
      <c r="K93" s="398"/>
      <c r="L93" s="458"/>
      <c r="M93" s="53"/>
      <c r="N93" s="447">
        <f t="shared" si="44"/>
        <v>0</v>
      </c>
      <c r="O93" s="443">
        <f t="shared" si="45"/>
        <v>0</v>
      </c>
      <c r="P93" s="448" t="str">
        <f t="shared" si="46"/>
        <v/>
      </c>
      <c r="Q93" s="449" t="str">
        <f t="shared" si="34"/>
        <v/>
      </c>
      <c r="R93" s="449" t="str">
        <f t="shared" si="35"/>
        <v/>
      </c>
      <c r="S93" s="449" t="str">
        <f t="shared" si="36"/>
        <v/>
      </c>
      <c r="T93" s="449" t="str">
        <f t="shared" si="37"/>
        <v/>
      </c>
      <c r="U93" s="449" t="str">
        <f t="shared" si="38"/>
        <v/>
      </c>
      <c r="V93" s="449" t="str">
        <f t="shared" si="39"/>
        <v/>
      </c>
      <c r="W93" s="449" t="str">
        <f t="shared" si="40"/>
        <v/>
      </c>
      <c r="X93" s="450" t="str">
        <f t="shared" si="41"/>
        <v/>
      </c>
      <c r="Y93" s="450" t="str">
        <f t="shared" si="42"/>
        <v/>
      </c>
    </row>
    <row r="94" spans="1:45" s="396" customFormat="1" x14ac:dyDescent="0.35">
      <c r="A94" s="459"/>
      <c r="B94" s="397"/>
      <c r="C94" s="398"/>
      <c r="D94" s="398"/>
      <c r="E94" s="398"/>
      <c r="F94" s="398"/>
      <c r="G94" s="398"/>
      <c r="H94" s="398"/>
      <c r="I94" s="398"/>
      <c r="J94" s="398"/>
      <c r="K94" s="398"/>
      <c r="L94" s="458"/>
      <c r="M94" s="53"/>
      <c r="N94" s="447">
        <f t="shared" si="44"/>
        <v>0</v>
      </c>
      <c r="O94" s="443">
        <f t="shared" si="45"/>
        <v>0</v>
      </c>
      <c r="P94" s="448" t="str">
        <f t="shared" si="46"/>
        <v/>
      </c>
      <c r="Q94" s="449" t="str">
        <f t="shared" si="34"/>
        <v/>
      </c>
      <c r="R94" s="449" t="str">
        <f t="shared" si="35"/>
        <v/>
      </c>
      <c r="S94" s="449" t="str">
        <f t="shared" si="36"/>
        <v/>
      </c>
      <c r="T94" s="449" t="str">
        <f t="shared" si="37"/>
        <v/>
      </c>
      <c r="U94" s="449" t="str">
        <f t="shared" si="38"/>
        <v/>
      </c>
      <c r="V94" s="449" t="str">
        <f t="shared" si="39"/>
        <v/>
      </c>
      <c r="W94" s="449" t="str">
        <f t="shared" si="40"/>
        <v/>
      </c>
      <c r="X94" s="450" t="str">
        <f t="shared" si="41"/>
        <v/>
      </c>
      <c r="Y94" s="450" t="str">
        <f t="shared" si="42"/>
        <v/>
      </c>
    </row>
    <row r="95" spans="1:45" s="396" customFormat="1" x14ac:dyDescent="0.35">
      <c r="A95" s="459"/>
      <c r="B95" s="397"/>
      <c r="C95" s="398"/>
      <c r="D95" s="398"/>
      <c r="E95" s="398"/>
      <c r="F95" s="398"/>
      <c r="G95" s="398"/>
      <c r="H95" s="398"/>
      <c r="I95" s="398"/>
      <c r="J95" s="398"/>
      <c r="K95" s="398"/>
      <c r="L95" s="458"/>
      <c r="M95" s="53"/>
      <c r="N95" s="447">
        <f t="shared" si="44"/>
        <v>0</v>
      </c>
      <c r="O95" s="443">
        <f t="shared" si="45"/>
        <v>0</v>
      </c>
      <c r="P95" s="448" t="str">
        <f t="shared" si="46"/>
        <v/>
      </c>
      <c r="Q95" s="449" t="str">
        <f t="shared" si="34"/>
        <v/>
      </c>
      <c r="R95" s="449" t="str">
        <f t="shared" si="35"/>
        <v/>
      </c>
      <c r="S95" s="449" t="str">
        <f t="shared" si="36"/>
        <v/>
      </c>
      <c r="T95" s="449" t="str">
        <f t="shared" si="37"/>
        <v/>
      </c>
      <c r="U95" s="449" t="str">
        <f t="shared" si="38"/>
        <v/>
      </c>
      <c r="V95" s="449" t="str">
        <f t="shared" si="39"/>
        <v/>
      </c>
      <c r="W95" s="449" t="str">
        <f t="shared" si="40"/>
        <v/>
      </c>
      <c r="X95" s="450" t="str">
        <f t="shared" si="41"/>
        <v/>
      </c>
      <c r="Y95" s="450" t="str">
        <f t="shared" si="42"/>
        <v/>
      </c>
    </row>
    <row r="96" spans="1:45" s="396" customFormat="1" x14ac:dyDescent="0.35">
      <c r="A96" s="459"/>
      <c r="B96" s="397"/>
      <c r="C96" s="398"/>
      <c r="D96" s="398"/>
      <c r="E96" s="398"/>
      <c r="F96" s="398"/>
      <c r="G96" s="398"/>
      <c r="H96" s="398"/>
      <c r="I96" s="398"/>
      <c r="J96" s="398"/>
      <c r="K96" s="398"/>
      <c r="L96" s="458"/>
      <c r="M96" s="53"/>
      <c r="N96" s="447">
        <f t="shared" si="44"/>
        <v>0</v>
      </c>
      <c r="O96" s="443">
        <f t="shared" si="45"/>
        <v>0</v>
      </c>
      <c r="P96" s="448" t="str">
        <f t="shared" si="46"/>
        <v/>
      </c>
      <c r="Q96" s="449" t="str">
        <f t="shared" si="34"/>
        <v/>
      </c>
      <c r="R96" s="449" t="str">
        <f t="shared" si="35"/>
        <v/>
      </c>
      <c r="S96" s="449" t="str">
        <f t="shared" si="36"/>
        <v/>
      </c>
      <c r="T96" s="449" t="str">
        <f t="shared" si="37"/>
        <v/>
      </c>
      <c r="U96" s="449" t="str">
        <f t="shared" si="38"/>
        <v/>
      </c>
      <c r="V96" s="449" t="str">
        <f t="shared" si="39"/>
        <v/>
      </c>
      <c r="W96" s="449" t="str">
        <f t="shared" si="40"/>
        <v/>
      </c>
      <c r="X96" s="450" t="str">
        <f t="shared" si="41"/>
        <v/>
      </c>
      <c r="Y96" s="450" t="str">
        <f t="shared" si="42"/>
        <v/>
      </c>
      <c r="AL96" s="53"/>
      <c r="AM96" s="53"/>
      <c r="AN96" s="53"/>
      <c r="AO96" s="53"/>
      <c r="AP96" s="53"/>
      <c r="AQ96" s="53"/>
      <c r="AR96" s="53"/>
      <c r="AS96" s="53"/>
    </row>
    <row r="97" spans="1:45" s="396" customFormat="1" x14ac:dyDescent="0.35">
      <c r="A97" s="459"/>
      <c r="B97" s="397"/>
      <c r="C97" s="398"/>
      <c r="D97" s="398"/>
      <c r="E97" s="398"/>
      <c r="F97" s="398"/>
      <c r="G97" s="398"/>
      <c r="H97" s="398"/>
      <c r="I97" s="398"/>
      <c r="J97" s="398"/>
      <c r="K97" s="398"/>
      <c r="L97" s="458"/>
      <c r="M97" s="53"/>
      <c r="N97" s="447">
        <f t="shared" si="44"/>
        <v>0</v>
      </c>
      <c r="O97" s="443">
        <f t="shared" si="45"/>
        <v>0</v>
      </c>
      <c r="P97" s="448" t="str">
        <f t="shared" si="46"/>
        <v/>
      </c>
      <c r="Q97" s="449" t="str">
        <f t="shared" si="34"/>
        <v/>
      </c>
      <c r="R97" s="449" t="str">
        <f t="shared" si="35"/>
        <v/>
      </c>
      <c r="S97" s="449" t="str">
        <f t="shared" si="36"/>
        <v/>
      </c>
      <c r="T97" s="449" t="str">
        <f t="shared" si="37"/>
        <v/>
      </c>
      <c r="U97" s="449" t="str">
        <f t="shared" si="38"/>
        <v/>
      </c>
      <c r="V97" s="449" t="str">
        <f t="shared" si="39"/>
        <v/>
      </c>
      <c r="W97" s="449" t="str">
        <f t="shared" si="40"/>
        <v/>
      </c>
      <c r="X97" s="450" t="str">
        <f t="shared" si="41"/>
        <v/>
      </c>
      <c r="Y97" s="450" t="str">
        <f t="shared" si="42"/>
        <v/>
      </c>
      <c r="AL97" s="53"/>
      <c r="AM97" s="53"/>
      <c r="AN97" s="53"/>
      <c r="AO97" s="53"/>
      <c r="AP97" s="53"/>
      <c r="AQ97" s="53"/>
      <c r="AR97" s="53"/>
      <c r="AS97" s="53"/>
    </row>
    <row r="98" spans="1:45" s="396" customFormat="1" x14ac:dyDescent="0.35">
      <c r="A98" s="459"/>
      <c r="B98" s="397"/>
      <c r="C98" s="398"/>
      <c r="D98" s="398"/>
      <c r="E98" s="398"/>
      <c r="F98" s="398"/>
      <c r="G98" s="398"/>
      <c r="H98" s="398"/>
      <c r="I98" s="398"/>
      <c r="J98" s="398"/>
      <c r="K98" s="398"/>
      <c r="L98" s="458"/>
      <c r="M98" s="53"/>
      <c r="N98" s="447">
        <f t="shared" si="44"/>
        <v>0</v>
      </c>
      <c r="O98" s="443">
        <f t="shared" si="45"/>
        <v>0</v>
      </c>
      <c r="P98" s="448" t="str">
        <f t="shared" si="46"/>
        <v/>
      </c>
      <c r="Q98" s="449" t="str">
        <f t="shared" si="34"/>
        <v/>
      </c>
      <c r="R98" s="449" t="str">
        <f t="shared" si="35"/>
        <v/>
      </c>
      <c r="S98" s="449" t="str">
        <f t="shared" si="36"/>
        <v/>
      </c>
      <c r="T98" s="449" t="str">
        <f t="shared" si="37"/>
        <v/>
      </c>
      <c r="U98" s="449" t="str">
        <f t="shared" si="38"/>
        <v/>
      </c>
      <c r="V98" s="449" t="str">
        <f t="shared" si="39"/>
        <v/>
      </c>
      <c r="W98" s="449" t="str">
        <f t="shared" si="40"/>
        <v/>
      </c>
      <c r="X98" s="450" t="str">
        <f t="shared" si="41"/>
        <v/>
      </c>
      <c r="Y98" s="450" t="str">
        <f t="shared" si="42"/>
        <v/>
      </c>
      <c r="AL98" s="53"/>
      <c r="AM98" s="53"/>
      <c r="AN98" s="53"/>
      <c r="AO98" s="53"/>
      <c r="AP98" s="53"/>
      <c r="AQ98" s="53"/>
      <c r="AR98" s="53"/>
      <c r="AS98" s="53"/>
    </row>
    <row r="99" spans="1:45" s="396" customFormat="1" x14ac:dyDescent="0.35">
      <c r="A99" s="459"/>
      <c r="B99" s="397"/>
      <c r="C99" s="398"/>
      <c r="D99" s="398"/>
      <c r="E99" s="398"/>
      <c r="F99" s="398"/>
      <c r="G99" s="398"/>
      <c r="H99" s="398"/>
      <c r="I99" s="398"/>
      <c r="J99" s="398"/>
      <c r="K99" s="398"/>
      <c r="L99" s="458"/>
      <c r="M99" s="53"/>
      <c r="N99" s="447">
        <f t="shared" si="44"/>
        <v>0</v>
      </c>
      <c r="O99" s="443">
        <f t="shared" si="45"/>
        <v>0</v>
      </c>
      <c r="P99" s="448" t="str">
        <f t="shared" si="46"/>
        <v/>
      </c>
      <c r="Q99" s="449" t="str">
        <f t="shared" si="34"/>
        <v/>
      </c>
      <c r="R99" s="449" t="str">
        <f t="shared" si="35"/>
        <v/>
      </c>
      <c r="S99" s="449" t="str">
        <f t="shared" si="36"/>
        <v/>
      </c>
      <c r="T99" s="449" t="str">
        <f t="shared" si="37"/>
        <v/>
      </c>
      <c r="U99" s="449" t="str">
        <f t="shared" si="38"/>
        <v/>
      </c>
      <c r="V99" s="449" t="str">
        <f t="shared" si="39"/>
        <v/>
      </c>
      <c r="W99" s="449" t="str">
        <f t="shared" si="40"/>
        <v/>
      </c>
      <c r="X99" s="450" t="str">
        <f t="shared" si="41"/>
        <v/>
      </c>
      <c r="Y99" s="450" t="str">
        <f t="shared" si="42"/>
        <v/>
      </c>
      <c r="AL99" s="53"/>
      <c r="AM99" s="53"/>
      <c r="AN99" s="53"/>
      <c r="AO99" s="53"/>
      <c r="AP99" s="53"/>
      <c r="AQ99" s="53"/>
      <c r="AR99" s="53"/>
      <c r="AS99" s="53"/>
    </row>
    <row r="100" spans="1:45" s="396" customFormat="1" x14ac:dyDescent="0.35">
      <c r="A100" s="459"/>
      <c r="B100" s="397"/>
      <c r="C100" s="398"/>
      <c r="D100" s="398"/>
      <c r="E100" s="398"/>
      <c r="F100" s="398"/>
      <c r="G100" s="398"/>
      <c r="H100" s="398"/>
      <c r="I100" s="398"/>
      <c r="J100" s="398"/>
      <c r="K100" s="398"/>
      <c r="L100" s="458"/>
      <c r="M100" s="53"/>
      <c r="N100" s="447">
        <f t="shared" si="44"/>
        <v>0</v>
      </c>
      <c r="O100" s="443">
        <f t="shared" si="45"/>
        <v>0</v>
      </c>
      <c r="P100" s="448" t="str">
        <f t="shared" si="46"/>
        <v/>
      </c>
      <c r="Q100" s="449" t="str">
        <f t="shared" si="34"/>
        <v/>
      </c>
      <c r="R100" s="449" t="str">
        <f t="shared" si="35"/>
        <v/>
      </c>
      <c r="S100" s="449" t="str">
        <f t="shared" si="36"/>
        <v/>
      </c>
      <c r="T100" s="449" t="str">
        <f t="shared" si="37"/>
        <v/>
      </c>
      <c r="U100" s="449" t="str">
        <f t="shared" si="38"/>
        <v/>
      </c>
      <c r="V100" s="449" t="str">
        <f t="shared" si="39"/>
        <v/>
      </c>
      <c r="W100" s="449" t="str">
        <f t="shared" si="40"/>
        <v/>
      </c>
      <c r="X100" s="450" t="str">
        <f t="shared" si="41"/>
        <v/>
      </c>
      <c r="Y100" s="450" t="str">
        <f t="shared" si="42"/>
        <v/>
      </c>
    </row>
    <row r="101" spans="1:45" s="396" customFormat="1" x14ac:dyDescent="0.35">
      <c r="A101" s="459"/>
      <c r="B101" s="397"/>
      <c r="C101" s="398"/>
      <c r="D101" s="398"/>
      <c r="E101" s="398"/>
      <c r="F101" s="398"/>
      <c r="G101" s="398"/>
      <c r="H101" s="398"/>
      <c r="I101" s="398"/>
      <c r="J101" s="398"/>
      <c r="K101" s="398"/>
      <c r="L101" s="458"/>
      <c r="M101" s="53"/>
      <c r="N101" s="447">
        <f t="shared" si="44"/>
        <v>0</v>
      </c>
      <c r="O101" s="443">
        <f t="shared" si="45"/>
        <v>0</v>
      </c>
      <c r="P101" s="448" t="str">
        <f t="shared" si="46"/>
        <v/>
      </c>
      <c r="Q101" s="449" t="str">
        <f t="shared" si="34"/>
        <v/>
      </c>
      <c r="R101" s="449" t="str">
        <f t="shared" si="35"/>
        <v/>
      </c>
      <c r="S101" s="449" t="str">
        <f t="shared" si="36"/>
        <v/>
      </c>
      <c r="T101" s="449" t="str">
        <f t="shared" si="37"/>
        <v/>
      </c>
      <c r="U101" s="449" t="str">
        <f t="shared" si="38"/>
        <v/>
      </c>
      <c r="V101" s="449" t="str">
        <f t="shared" si="39"/>
        <v/>
      </c>
      <c r="W101" s="449" t="str">
        <f t="shared" si="40"/>
        <v/>
      </c>
      <c r="X101" s="450" t="str">
        <f t="shared" si="41"/>
        <v/>
      </c>
      <c r="Y101" s="450" t="str">
        <f t="shared" si="42"/>
        <v/>
      </c>
    </row>
    <row r="102" spans="1:45" s="396" customFormat="1" x14ac:dyDescent="0.35">
      <c r="A102" s="459"/>
      <c r="B102" s="397"/>
      <c r="C102" s="398"/>
      <c r="D102" s="398"/>
      <c r="E102" s="398"/>
      <c r="F102" s="398"/>
      <c r="G102" s="398"/>
      <c r="H102" s="398"/>
      <c r="I102" s="398"/>
      <c r="J102" s="398"/>
      <c r="K102" s="398"/>
      <c r="L102" s="458"/>
      <c r="M102" s="53"/>
      <c r="N102" s="447">
        <f t="shared" si="44"/>
        <v>0</v>
      </c>
      <c r="O102" s="443">
        <f t="shared" si="45"/>
        <v>0</v>
      </c>
      <c r="P102" s="448" t="str">
        <f t="shared" si="46"/>
        <v/>
      </c>
      <c r="Q102" s="449" t="str">
        <f t="shared" si="34"/>
        <v/>
      </c>
      <c r="R102" s="449" t="str">
        <f t="shared" si="35"/>
        <v/>
      </c>
      <c r="S102" s="449" t="str">
        <f t="shared" si="36"/>
        <v/>
      </c>
      <c r="T102" s="449" t="str">
        <f t="shared" si="37"/>
        <v/>
      </c>
      <c r="U102" s="449" t="str">
        <f t="shared" si="38"/>
        <v/>
      </c>
      <c r="V102" s="449" t="str">
        <f t="shared" si="39"/>
        <v/>
      </c>
      <c r="W102" s="449" t="str">
        <f t="shared" si="40"/>
        <v/>
      </c>
      <c r="X102" s="450" t="str">
        <f t="shared" si="41"/>
        <v/>
      </c>
      <c r="Y102" s="450" t="str">
        <f t="shared" si="42"/>
        <v/>
      </c>
    </row>
    <row r="103" spans="1:45" s="396" customFormat="1" x14ac:dyDescent="0.35">
      <c r="A103" s="459"/>
      <c r="B103" s="397"/>
      <c r="C103" s="398"/>
      <c r="D103" s="398"/>
      <c r="E103" s="398"/>
      <c r="F103" s="398"/>
      <c r="G103" s="398"/>
      <c r="H103" s="398"/>
      <c r="I103" s="398"/>
      <c r="J103" s="398"/>
      <c r="K103" s="398"/>
      <c r="L103" s="458"/>
      <c r="M103" s="53"/>
      <c r="N103" s="447">
        <f t="shared" si="44"/>
        <v>0</v>
      </c>
      <c r="O103" s="443">
        <f t="shared" si="45"/>
        <v>0</v>
      </c>
      <c r="P103" s="448" t="str">
        <f t="shared" si="46"/>
        <v/>
      </c>
      <c r="Q103" s="449" t="str">
        <f t="shared" si="34"/>
        <v/>
      </c>
      <c r="R103" s="449" t="str">
        <f t="shared" si="35"/>
        <v/>
      </c>
      <c r="S103" s="449" t="str">
        <f t="shared" si="36"/>
        <v/>
      </c>
      <c r="T103" s="449" t="str">
        <f t="shared" si="37"/>
        <v/>
      </c>
      <c r="U103" s="449" t="str">
        <f t="shared" si="38"/>
        <v/>
      </c>
      <c r="V103" s="449" t="str">
        <f t="shared" si="39"/>
        <v/>
      </c>
      <c r="W103" s="449" t="str">
        <f t="shared" si="40"/>
        <v/>
      </c>
      <c r="X103" s="450" t="str">
        <f t="shared" si="41"/>
        <v/>
      </c>
      <c r="Y103" s="450" t="str">
        <f t="shared" si="42"/>
        <v/>
      </c>
    </row>
    <row r="104" spans="1:45" s="396" customFormat="1" x14ac:dyDescent="0.35">
      <c r="A104" s="459"/>
      <c r="B104" s="397"/>
      <c r="C104" s="398"/>
      <c r="D104" s="398"/>
      <c r="E104" s="398"/>
      <c r="F104" s="398"/>
      <c r="G104" s="398"/>
      <c r="H104" s="398"/>
      <c r="I104" s="398"/>
      <c r="J104" s="398"/>
      <c r="K104" s="398"/>
      <c r="L104" s="458"/>
      <c r="M104" s="53"/>
      <c r="N104" s="447">
        <f t="shared" si="44"/>
        <v>0</v>
      </c>
      <c r="O104" s="443">
        <f t="shared" si="45"/>
        <v>0</v>
      </c>
      <c r="P104" s="448" t="str">
        <f t="shared" si="46"/>
        <v/>
      </c>
      <c r="Q104" s="449" t="str">
        <f t="shared" si="34"/>
        <v/>
      </c>
      <c r="R104" s="449" t="str">
        <f t="shared" si="35"/>
        <v/>
      </c>
      <c r="S104" s="449" t="str">
        <f t="shared" si="36"/>
        <v/>
      </c>
      <c r="T104" s="449" t="str">
        <f t="shared" si="37"/>
        <v/>
      </c>
      <c r="U104" s="449" t="str">
        <f t="shared" si="38"/>
        <v/>
      </c>
      <c r="V104" s="449" t="str">
        <f t="shared" si="39"/>
        <v/>
      </c>
      <c r="W104" s="449" t="str">
        <f t="shared" si="40"/>
        <v/>
      </c>
      <c r="X104" s="450" t="str">
        <f t="shared" si="41"/>
        <v/>
      </c>
      <c r="Y104" s="450" t="str">
        <f t="shared" si="42"/>
        <v/>
      </c>
    </row>
    <row r="105" spans="1:45" s="396" customFormat="1" x14ac:dyDescent="0.35">
      <c r="A105" s="459"/>
      <c r="B105" s="397"/>
      <c r="C105" s="398"/>
      <c r="D105" s="398"/>
      <c r="E105" s="398"/>
      <c r="F105" s="398"/>
      <c r="G105" s="398"/>
      <c r="H105" s="398"/>
      <c r="I105" s="398"/>
      <c r="J105" s="398"/>
      <c r="K105" s="398"/>
      <c r="L105" s="458"/>
      <c r="M105" s="53"/>
      <c r="N105" s="447">
        <f t="shared" si="44"/>
        <v>0</v>
      </c>
      <c r="O105" s="443">
        <f t="shared" si="45"/>
        <v>0</v>
      </c>
      <c r="P105" s="448" t="str">
        <f t="shared" si="46"/>
        <v/>
      </c>
      <c r="Q105" s="449" t="str">
        <f t="shared" si="34"/>
        <v/>
      </c>
      <c r="R105" s="449" t="str">
        <f t="shared" si="35"/>
        <v/>
      </c>
      <c r="S105" s="449" t="str">
        <f t="shared" si="36"/>
        <v/>
      </c>
      <c r="T105" s="449" t="str">
        <f t="shared" si="37"/>
        <v/>
      </c>
      <c r="U105" s="449" t="str">
        <f t="shared" si="38"/>
        <v/>
      </c>
      <c r="V105" s="449" t="str">
        <f t="shared" si="39"/>
        <v/>
      </c>
      <c r="W105" s="449" t="str">
        <f t="shared" si="40"/>
        <v/>
      </c>
      <c r="X105" s="450" t="str">
        <f t="shared" si="41"/>
        <v/>
      </c>
      <c r="Y105" s="450" t="str">
        <f t="shared" si="42"/>
        <v/>
      </c>
    </row>
    <row r="106" spans="1:45" s="396" customFormat="1" x14ac:dyDescent="0.35">
      <c r="A106" s="459"/>
      <c r="B106" s="397"/>
      <c r="C106" s="398"/>
      <c r="D106" s="398"/>
      <c r="E106" s="398"/>
      <c r="F106" s="398"/>
      <c r="G106" s="398"/>
      <c r="H106" s="398"/>
      <c r="I106" s="398"/>
      <c r="J106" s="398"/>
      <c r="K106" s="398"/>
      <c r="L106" s="458"/>
      <c r="M106" s="53"/>
      <c r="N106" s="447">
        <f t="shared" si="44"/>
        <v>0</v>
      </c>
      <c r="O106" s="443">
        <f t="shared" si="45"/>
        <v>0</v>
      </c>
      <c r="P106" s="448" t="str">
        <f t="shared" si="46"/>
        <v/>
      </c>
      <c r="Q106" s="449" t="str">
        <f t="shared" si="34"/>
        <v/>
      </c>
      <c r="R106" s="449" t="str">
        <f t="shared" si="35"/>
        <v/>
      </c>
      <c r="S106" s="449" t="str">
        <f t="shared" si="36"/>
        <v/>
      </c>
      <c r="T106" s="449" t="str">
        <f t="shared" si="37"/>
        <v/>
      </c>
      <c r="U106" s="449" t="str">
        <f t="shared" si="38"/>
        <v/>
      </c>
      <c r="V106" s="449" t="str">
        <f t="shared" si="39"/>
        <v/>
      </c>
      <c r="W106" s="449" t="str">
        <f t="shared" si="40"/>
        <v/>
      </c>
      <c r="X106" s="450" t="str">
        <f t="shared" si="41"/>
        <v/>
      </c>
      <c r="Y106" s="450" t="str">
        <f t="shared" si="42"/>
        <v/>
      </c>
    </row>
    <row r="107" spans="1:45" s="396" customFormat="1" x14ac:dyDescent="0.35">
      <c r="A107" s="459"/>
      <c r="B107" s="397"/>
      <c r="C107" s="398"/>
      <c r="D107" s="398"/>
      <c r="E107" s="398"/>
      <c r="F107" s="398"/>
      <c r="G107" s="398"/>
      <c r="H107" s="398"/>
      <c r="I107" s="398"/>
      <c r="J107" s="398"/>
      <c r="K107" s="398"/>
      <c r="L107" s="458"/>
      <c r="M107" s="53"/>
      <c r="N107" s="447">
        <f t="shared" si="44"/>
        <v>0</v>
      </c>
      <c r="O107" s="443">
        <f t="shared" si="45"/>
        <v>0</v>
      </c>
      <c r="P107" s="448" t="str">
        <f t="shared" si="46"/>
        <v/>
      </c>
      <c r="Q107" s="449" t="str">
        <f t="shared" si="34"/>
        <v/>
      </c>
      <c r="R107" s="449" t="str">
        <f t="shared" si="35"/>
        <v/>
      </c>
      <c r="S107" s="449" t="str">
        <f t="shared" si="36"/>
        <v/>
      </c>
      <c r="T107" s="449" t="str">
        <f t="shared" si="37"/>
        <v/>
      </c>
      <c r="U107" s="449" t="str">
        <f t="shared" si="38"/>
        <v/>
      </c>
      <c r="V107" s="449" t="str">
        <f t="shared" si="39"/>
        <v/>
      </c>
      <c r="W107" s="449" t="str">
        <f t="shared" si="40"/>
        <v/>
      </c>
      <c r="X107" s="450" t="str">
        <f t="shared" si="41"/>
        <v/>
      </c>
      <c r="Y107" s="450" t="str">
        <f t="shared" si="42"/>
        <v/>
      </c>
    </row>
    <row r="108" spans="1:45" s="396" customFormat="1" x14ac:dyDescent="0.35">
      <c r="A108" s="459"/>
      <c r="B108" s="397"/>
      <c r="C108" s="398"/>
      <c r="D108" s="398"/>
      <c r="E108" s="398"/>
      <c r="F108" s="398"/>
      <c r="G108" s="398"/>
      <c r="H108" s="398"/>
      <c r="I108" s="398"/>
      <c r="J108" s="398"/>
      <c r="K108" s="398"/>
      <c r="L108" s="458"/>
      <c r="M108" s="53"/>
      <c r="N108" s="447">
        <f t="shared" si="44"/>
        <v>0</v>
      </c>
      <c r="O108" s="443">
        <f t="shared" si="45"/>
        <v>0</v>
      </c>
      <c r="P108" s="448" t="str">
        <f t="shared" si="46"/>
        <v/>
      </c>
      <c r="Q108" s="449" t="str">
        <f t="shared" si="34"/>
        <v/>
      </c>
      <c r="R108" s="449" t="str">
        <f t="shared" si="35"/>
        <v/>
      </c>
      <c r="S108" s="449" t="str">
        <f t="shared" si="36"/>
        <v/>
      </c>
      <c r="T108" s="449" t="str">
        <f t="shared" si="37"/>
        <v/>
      </c>
      <c r="U108" s="449" t="str">
        <f t="shared" si="38"/>
        <v/>
      </c>
      <c r="V108" s="449" t="str">
        <f t="shared" si="39"/>
        <v/>
      </c>
      <c r="W108" s="449" t="str">
        <f t="shared" si="40"/>
        <v/>
      </c>
      <c r="X108" s="450" t="str">
        <f t="shared" si="41"/>
        <v/>
      </c>
      <c r="Y108" s="450" t="str">
        <f t="shared" si="42"/>
        <v/>
      </c>
    </row>
    <row r="109" spans="1:45" s="396" customFormat="1" x14ac:dyDescent="0.35">
      <c r="A109" s="459"/>
      <c r="B109" s="397"/>
      <c r="C109" s="398"/>
      <c r="D109" s="398"/>
      <c r="E109" s="398"/>
      <c r="F109" s="398"/>
      <c r="G109" s="398"/>
      <c r="H109" s="398"/>
      <c r="I109" s="398"/>
      <c r="J109" s="398"/>
      <c r="K109" s="398"/>
      <c r="L109" s="458"/>
      <c r="M109" s="53"/>
      <c r="N109" s="447">
        <f t="shared" si="44"/>
        <v>0</v>
      </c>
      <c r="O109" s="443">
        <f t="shared" si="45"/>
        <v>0</v>
      </c>
      <c r="P109" s="448" t="str">
        <f t="shared" si="46"/>
        <v/>
      </c>
      <c r="Q109" s="449" t="str">
        <f t="shared" si="34"/>
        <v/>
      </c>
      <c r="R109" s="449" t="str">
        <f t="shared" si="35"/>
        <v/>
      </c>
      <c r="S109" s="449" t="str">
        <f t="shared" si="36"/>
        <v/>
      </c>
      <c r="T109" s="449" t="str">
        <f t="shared" si="37"/>
        <v/>
      </c>
      <c r="U109" s="449" t="str">
        <f t="shared" si="38"/>
        <v/>
      </c>
      <c r="V109" s="449" t="str">
        <f t="shared" si="39"/>
        <v/>
      </c>
      <c r="W109" s="449" t="str">
        <f t="shared" si="40"/>
        <v/>
      </c>
      <c r="X109" s="450" t="str">
        <f t="shared" si="41"/>
        <v/>
      </c>
      <c r="Y109" s="450" t="str">
        <f t="shared" si="42"/>
        <v/>
      </c>
    </row>
    <row r="110" spans="1:45" s="396" customFormat="1" x14ac:dyDescent="0.35">
      <c r="A110" s="459"/>
      <c r="B110" s="397"/>
      <c r="C110" s="398"/>
      <c r="D110" s="398"/>
      <c r="E110" s="398"/>
      <c r="F110" s="398"/>
      <c r="G110" s="398"/>
      <c r="H110" s="398"/>
      <c r="I110" s="398"/>
      <c r="J110" s="398"/>
      <c r="K110" s="398"/>
      <c r="L110" s="458"/>
      <c r="M110" s="53"/>
      <c r="N110" s="447">
        <f t="shared" si="44"/>
        <v>0</v>
      </c>
      <c r="O110" s="443">
        <f t="shared" si="45"/>
        <v>0</v>
      </c>
      <c r="P110" s="448" t="str">
        <f t="shared" si="46"/>
        <v/>
      </c>
      <c r="Q110" s="449" t="str">
        <f t="shared" si="34"/>
        <v/>
      </c>
      <c r="R110" s="449" t="str">
        <f t="shared" si="35"/>
        <v/>
      </c>
      <c r="S110" s="449" t="str">
        <f t="shared" si="36"/>
        <v/>
      </c>
      <c r="T110" s="449" t="str">
        <f t="shared" si="37"/>
        <v/>
      </c>
      <c r="U110" s="449" t="str">
        <f t="shared" si="38"/>
        <v/>
      </c>
      <c r="V110" s="449" t="str">
        <f t="shared" si="39"/>
        <v/>
      </c>
      <c r="W110" s="449" t="str">
        <f t="shared" si="40"/>
        <v/>
      </c>
      <c r="X110" s="450" t="str">
        <f t="shared" si="41"/>
        <v/>
      </c>
      <c r="Y110" s="450" t="str">
        <f t="shared" si="42"/>
        <v/>
      </c>
    </row>
    <row r="111" spans="1:45" s="396" customFormat="1" x14ac:dyDescent="0.35">
      <c r="A111" s="459"/>
      <c r="B111" s="397"/>
      <c r="C111" s="398"/>
      <c r="D111" s="398"/>
      <c r="E111" s="398"/>
      <c r="F111" s="398"/>
      <c r="G111" s="398"/>
      <c r="H111" s="398"/>
      <c r="I111" s="398"/>
      <c r="J111" s="398"/>
      <c r="K111" s="398"/>
      <c r="L111" s="458"/>
      <c r="M111" s="53"/>
      <c r="N111" s="447">
        <f t="shared" si="44"/>
        <v>0</v>
      </c>
      <c r="O111" s="443">
        <f t="shared" si="45"/>
        <v>0</v>
      </c>
      <c r="P111" s="448" t="str">
        <f t="shared" si="46"/>
        <v/>
      </c>
      <c r="Q111" s="449" t="str">
        <f t="shared" si="34"/>
        <v/>
      </c>
      <c r="R111" s="449" t="str">
        <f t="shared" si="35"/>
        <v/>
      </c>
      <c r="S111" s="449" t="str">
        <f t="shared" si="36"/>
        <v/>
      </c>
      <c r="T111" s="449" t="str">
        <f t="shared" si="37"/>
        <v/>
      </c>
      <c r="U111" s="449" t="str">
        <f t="shared" si="38"/>
        <v/>
      </c>
      <c r="V111" s="449" t="str">
        <f t="shared" si="39"/>
        <v/>
      </c>
      <c r="W111" s="449" t="str">
        <f t="shared" si="40"/>
        <v/>
      </c>
      <c r="X111" s="450" t="str">
        <f t="shared" si="41"/>
        <v/>
      </c>
      <c r="Y111" s="450" t="str">
        <f t="shared" si="42"/>
        <v/>
      </c>
    </row>
    <row r="112" spans="1:45" x14ac:dyDescent="0.35">
      <c r="N112" s="447">
        <f t="shared" si="44"/>
        <v>0</v>
      </c>
      <c r="O112" s="443">
        <f t="shared" si="45"/>
        <v>0</v>
      </c>
      <c r="P112" s="448" t="str">
        <f t="shared" si="46"/>
        <v/>
      </c>
      <c r="Q112" s="449" t="str">
        <f t="shared" si="34"/>
        <v/>
      </c>
      <c r="R112" s="449" t="str">
        <f t="shared" si="35"/>
        <v/>
      </c>
      <c r="S112" s="449" t="str">
        <f t="shared" si="36"/>
        <v/>
      </c>
      <c r="T112" s="449" t="str">
        <f t="shared" si="37"/>
        <v/>
      </c>
      <c r="U112" s="449" t="str">
        <f t="shared" si="38"/>
        <v/>
      </c>
      <c r="V112" s="449" t="str">
        <f t="shared" si="39"/>
        <v/>
      </c>
      <c r="W112" s="449" t="str">
        <f t="shared" si="40"/>
        <v/>
      </c>
      <c r="X112" s="450" t="str">
        <f t="shared" si="41"/>
        <v/>
      </c>
      <c r="Y112" s="450" t="str">
        <f t="shared" si="42"/>
        <v/>
      </c>
    </row>
    <row r="113" spans="1:25" x14ac:dyDescent="0.35">
      <c r="N113" s="447">
        <f t="shared" si="44"/>
        <v>0</v>
      </c>
      <c r="O113" s="443">
        <f t="shared" si="45"/>
        <v>0</v>
      </c>
      <c r="P113" s="448" t="str">
        <f t="shared" si="46"/>
        <v/>
      </c>
      <c r="Q113" s="449" t="str">
        <f t="shared" si="34"/>
        <v/>
      </c>
      <c r="R113" s="449" t="str">
        <f t="shared" si="35"/>
        <v/>
      </c>
      <c r="S113" s="449" t="str">
        <f t="shared" si="36"/>
        <v/>
      </c>
      <c r="T113" s="449" t="str">
        <f t="shared" si="37"/>
        <v/>
      </c>
      <c r="U113" s="449" t="str">
        <f t="shared" si="38"/>
        <v/>
      </c>
      <c r="V113" s="449" t="str">
        <f t="shared" si="39"/>
        <v/>
      </c>
      <c r="W113" s="449" t="str">
        <f t="shared" si="40"/>
        <v/>
      </c>
      <c r="X113" s="450" t="str">
        <f t="shared" si="41"/>
        <v/>
      </c>
      <c r="Y113" s="450" t="str">
        <f t="shared" si="42"/>
        <v/>
      </c>
    </row>
    <row r="114" spans="1:25" x14ac:dyDescent="0.35">
      <c r="N114" s="447">
        <f t="shared" si="44"/>
        <v>0</v>
      </c>
      <c r="O114" s="443">
        <f t="shared" si="45"/>
        <v>0</v>
      </c>
      <c r="P114" s="448" t="str">
        <f t="shared" si="46"/>
        <v/>
      </c>
      <c r="Q114" s="449" t="str">
        <f t="shared" si="34"/>
        <v/>
      </c>
      <c r="R114" s="449" t="str">
        <f t="shared" si="35"/>
        <v/>
      </c>
      <c r="S114" s="449" t="str">
        <f t="shared" si="36"/>
        <v/>
      </c>
      <c r="T114" s="449"/>
      <c r="U114" s="449"/>
      <c r="V114" s="449" t="str">
        <f t="shared" si="39"/>
        <v/>
      </c>
      <c r="W114" s="449" t="str">
        <f t="shared" si="40"/>
        <v/>
      </c>
      <c r="X114" s="450" t="str">
        <f t="shared" si="41"/>
        <v/>
      </c>
      <c r="Y114" s="450" t="str">
        <f t="shared" si="42"/>
        <v/>
      </c>
    </row>
    <row r="115" spans="1:25" x14ac:dyDescent="0.35">
      <c r="N115" s="447">
        <f t="shared" si="44"/>
        <v>0</v>
      </c>
      <c r="O115" s="443">
        <f t="shared" si="45"/>
        <v>0</v>
      </c>
      <c r="P115" s="448" t="str">
        <f t="shared" si="46"/>
        <v/>
      </c>
      <c r="Q115" s="449" t="str">
        <f t="shared" si="34"/>
        <v/>
      </c>
      <c r="R115" s="449" t="str">
        <f t="shared" si="35"/>
        <v/>
      </c>
      <c r="S115" s="449" t="str">
        <f t="shared" si="36"/>
        <v/>
      </c>
      <c r="T115" s="449"/>
      <c r="U115" s="449"/>
      <c r="V115" s="449" t="str">
        <f t="shared" si="39"/>
        <v/>
      </c>
      <c r="W115" s="449" t="str">
        <f t="shared" si="40"/>
        <v/>
      </c>
      <c r="X115" s="450" t="str">
        <f t="shared" si="41"/>
        <v/>
      </c>
      <c r="Y115" s="450" t="str">
        <f t="shared" si="42"/>
        <v/>
      </c>
    </row>
    <row r="116" spans="1:25" x14ac:dyDescent="0.35">
      <c r="N116" s="447">
        <f t="shared" si="44"/>
        <v>0</v>
      </c>
      <c r="O116" s="443">
        <f t="shared" si="45"/>
        <v>0</v>
      </c>
      <c r="P116" s="448" t="str">
        <f t="shared" si="46"/>
        <v/>
      </c>
      <c r="Q116" s="449" t="str">
        <f t="shared" si="34"/>
        <v/>
      </c>
      <c r="R116" s="449" t="str">
        <f t="shared" si="35"/>
        <v/>
      </c>
      <c r="S116" s="449" t="str">
        <f t="shared" si="36"/>
        <v/>
      </c>
      <c r="T116" s="449"/>
      <c r="U116" s="449"/>
      <c r="V116" s="449" t="str">
        <f t="shared" si="39"/>
        <v/>
      </c>
      <c r="W116" s="449" t="str">
        <f t="shared" si="40"/>
        <v/>
      </c>
      <c r="X116" s="450" t="str">
        <f t="shared" si="41"/>
        <v/>
      </c>
      <c r="Y116" s="450" t="str">
        <f t="shared" si="42"/>
        <v/>
      </c>
    </row>
    <row r="117" spans="1:25" x14ac:dyDescent="0.35">
      <c r="N117" s="447">
        <f t="shared" si="44"/>
        <v>0</v>
      </c>
      <c r="O117" s="443">
        <f t="shared" si="45"/>
        <v>0</v>
      </c>
      <c r="P117" s="448" t="str">
        <f t="shared" si="46"/>
        <v/>
      </c>
      <c r="Q117" s="449"/>
      <c r="R117" s="449" t="str">
        <f t="shared" si="35"/>
        <v/>
      </c>
      <c r="S117" s="449" t="str">
        <f t="shared" si="36"/>
        <v/>
      </c>
      <c r="T117" s="449"/>
      <c r="U117" s="449"/>
      <c r="V117" s="449" t="str">
        <f t="shared" si="39"/>
        <v/>
      </c>
      <c r="W117" s="449" t="str">
        <f t="shared" si="40"/>
        <v/>
      </c>
      <c r="X117" s="450" t="str">
        <f t="shared" si="41"/>
        <v/>
      </c>
      <c r="Y117" s="450" t="str">
        <f t="shared" si="42"/>
        <v/>
      </c>
    </row>
    <row r="120" spans="1:25" s="396" customFormat="1" x14ac:dyDescent="0.35">
      <c r="A120" s="459"/>
      <c r="B120" s="397"/>
      <c r="C120" s="398"/>
      <c r="D120" s="398"/>
      <c r="E120" s="398"/>
      <c r="F120" s="398"/>
      <c r="G120" s="398"/>
      <c r="H120" s="398"/>
      <c r="I120" s="404"/>
      <c r="J120" s="404"/>
      <c r="K120" s="404"/>
      <c r="L120" s="458"/>
      <c r="M120" s="53"/>
      <c r="N120" s="399"/>
      <c r="O120" s="53"/>
      <c r="P120" s="12"/>
      <c r="Q120" s="12"/>
      <c r="R120" s="12"/>
      <c r="S120" s="12"/>
      <c r="T120" s="12"/>
      <c r="U120" s="12"/>
      <c r="V120" s="12"/>
      <c r="W120" s="12"/>
      <c r="X120" s="12"/>
      <c r="Y120" s="12"/>
    </row>
    <row r="121" spans="1:25" s="396" customFormat="1" x14ac:dyDescent="0.35">
      <c r="A121" s="459"/>
      <c r="B121" s="397"/>
      <c r="C121" s="398"/>
      <c r="D121" s="398"/>
      <c r="E121" s="398"/>
      <c r="F121" s="398"/>
      <c r="G121" s="398"/>
      <c r="H121" s="398"/>
      <c r="I121" s="404"/>
      <c r="J121" s="404"/>
      <c r="K121" s="404"/>
      <c r="L121" s="458"/>
      <c r="M121" s="53"/>
      <c r="N121" s="399"/>
      <c r="O121" s="53"/>
      <c r="P121" s="12"/>
      <c r="Q121" s="12"/>
      <c r="R121" s="12"/>
      <c r="S121" s="12"/>
      <c r="T121" s="12"/>
      <c r="U121" s="12"/>
      <c r="V121" s="12"/>
      <c r="W121" s="12"/>
      <c r="X121" s="12"/>
      <c r="Y121" s="12"/>
    </row>
    <row r="122" spans="1:25" x14ac:dyDescent="0.35">
      <c r="P122" s="12"/>
      <c r="Q122" s="12"/>
      <c r="R122" s="12"/>
      <c r="S122" s="12"/>
      <c r="T122" s="12"/>
      <c r="U122" s="12"/>
      <c r="V122" s="12"/>
      <c r="W122" s="12"/>
      <c r="X122" s="12"/>
      <c r="Y122" s="12"/>
    </row>
    <row r="123" spans="1:25" x14ac:dyDescent="0.35">
      <c r="P123" s="12"/>
      <c r="Q123" s="12"/>
      <c r="R123" s="12"/>
      <c r="S123" s="12"/>
      <c r="T123" s="12"/>
      <c r="U123" s="12"/>
      <c r="V123" s="12"/>
      <c r="W123" s="12"/>
      <c r="X123" s="12"/>
      <c r="Y123" s="12"/>
    </row>
    <row r="124" spans="1:25" x14ac:dyDescent="0.35">
      <c r="O124" s="396"/>
      <c r="P124" s="12"/>
      <c r="Q124" s="12"/>
      <c r="R124" s="12"/>
      <c r="S124" s="12"/>
      <c r="T124" s="12"/>
      <c r="U124" s="12"/>
      <c r="V124" s="12"/>
      <c r="W124" s="12"/>
      <c r="X124" s="12"/>
      <c r="Y124" s="12"/>
    </row>
    <row r="125" spans="1:25" x14ac:dyDescent="0.35">
      <c r="O125" s="396"/>
      <c r="P125" s="12"/>
      <c r="Q125" s="12"/>
      <c r="R125" s="12"/>
      <c r="S125" s="12"/>
      <c r="T125" s="12"/>
      <c r="U125" s="12"/>
      <c r="V125" s="12"/>
      <c r="W125" s="12"/>
      <c r="X125" s="12"/>
      <c r="Y125" s="12"/>
    </row>
    <row r="126" spans="1:25" x14ac:dyDescent="0.35">
      <c r="P126" s="12"/>
      <c r="Q126" s="12"/>
      <c r="R126" s="12"/>
      <c r="S126" s="12"/>
      <c r="T126" s="12"/>
      <c r="U126" s="12"/>
      <c r="V126" s="12"/>
      <c r="W126" s="12"/>
      <c r="X126" s="12"/>
      <c r="Y126" s="12"/>
    </row>
    <row r="127" spans="1:25" x14ac:dyDescent="0.35">
      <c r="P127" s="12"/>
      <c r="Q127" s="12"/>
      <c r="R127" s="12"/>
      <c r="S127" s="12"/>
      <c r="T127" s="12"/>
      <c r="U127" s="12"/>
      <c r="V127" s="12"/>
      <c r="W127" s="12"/>
      <c r="X127" s="12"/>
      <c r="Y127" s="12"/>
    </row>
    <row r="128" spans="1:25" x14ac:dyDescent="0.35">
      <c r="P128" s="12"/>
      <c r="Q128" s="12"/>
      <c r="R128" s="12"/>
      <c r="S128" s="12"/>
      <c r="T128" s="12"/>
      <c r="U128" s="12"/>
      <c r="V128" s="12"/>
      <c r="W128" s="12"/>
      <c r="X128" s="12"/>
      <c r="Y128" s="12"/>
    </row>
    <row r="129" spans="16:25" x14ac:dyDescent="0.35">
      <c r="P129" s="12"/>
      <c r="Q129" s="12"/>
      <c r="R129" s="12"/>
      <c r="S129" s="12"/>
      <c r="T129" s="12"/>
      <c r="U129" s="12"/>
      <c r="V129" s="12"/>
      <c r="W129" s="12"/>
      <c r="X129" s="12"/>
      <c r="Y129" s="12"/>
    </row>
    <row r="130" spans="16:25" x14ac:dyDescent="0.35">
      <c r="P130" s="12"/>
      <c r="Q130" s="12"/>
      <c r="R130" s="12"/>
      <c r="S130" s="12"/>
      <c r="T130" s="12"/>
      <c r="U130" s="12"/>
      <c r="V130" s="12"/>
      <c r="W130" s="12"/>
      <c r="X130" s="12"/>
      <c r="Y130" s="12"/>
    </row>
    <row r="131" spans="16:25" x14ac:dyDescent="0.35">
      <c r="P131" s="12"/>
      <c r="Q131" s="12"/>
      <c r="R131" s="12"/>
      <c r="S131" s="12"/>
      <c r="T131" s="12"/>
      <c r="U131" s="12"/>
      <c r="V131" s="12"/>
      <c r="W131" s="12"/>
      <c r="X131" s="12"/>
      <c r="Y131" s="12"/>
    </row>
    <row r="132" spans="16:25" x14ac:dyDescent="0.35">
      <c r="P132" s="12"/>
      <c r="Q132" s="12"/>
      <c r="R132" s="12"/>
      <c r="S132" s="12"/>
      <c r="T132" s="12"/>
      <c r="U132" s="12"/>
      <c r="V132" s="12"/>
      <c r="W132" s="12"/>
      <c r="X132" s="12"/>
      <c r="Y132" s="12"/>
    </row>
    <row r="133" spans="16:25" x14ac:dyDescent="0.35">
      <c r="P133" s="12"/>
      <c r="Q133" s="12"/>
      <c r="R133" s="12"/>
      <c r="S133" s="12"/>
      <c r="T133" s="12"/>
      <c r="U133" s="12"/>
      <c r="V133" s="12"/>
      <c r="W133" s="12"/>
      <c r="X133" s="12"/>
      <c r="Y133" s="12"/>
    </row>
    <row r="134" spans="16:25" x14ac:dyDescent="0.35">
      <c r="P134" s="12"/>
      <c r="Q134" s="12"/>
      <c r="R134" s="12"/>
      <c r="S134" s="12"/>
      <c r="T134" s="12"/>
      <c r="U134" s="12"/>
      <c r="V134" s="12"/>
      <c r="W134" s="12"/>
      <c r="X134" s="12"/>
      <c r="Y134" s="12"/>
    </row>
    <row r="135" spans="16:25" x14ac:dyDescent="0.35">
      <c r="P135" s="12"/>
      <c r="Q135" s="12"/>
      <c r="R135" s="12"/>
      <c r="S135" s="12"/>
      <c r="T135" s="12"/>
      <c r="U135" s="12"/>
      <c r="V135" s="12"/>
      <c r="W135" s="12"/>
      <c r="X135" s="12"/>
      <c r="Y135" s="12"/>
    </row>
    <row r="136" spans="16:25" x14ac:dyDescent="0.35">
      <c r="P136" s="12"/>
      <c r="Q136" s="12"/>
      <c r="R136" s="12"/>
      <c r="S136" s="12"/>
      <c r="T136" s="12"/>
      <c r="U136" s="12"/>
      <c r="V136" s="12"/>
      <c r="W136" s="12"/>
      <c r="X136" s="12"/>
      <c r="Y136" s="12"/>
    </row>
    <row r="137" spans="16:25" x14ac:dyDescent="0.35">
      <c r="P137" s="12"/>
      <c r="Q137" s="12"/>
      <c r="R137" s="12"/>
      <c r="S137" s="12"/>
      <c r="T137" s="12"/>
      <c r="U137" s="12"/>
      <c r="V137" s="12"/>
      <c r="W137" s="12"/>
      <c r="X137" s="12"/>
      <c r="Y137" s="12"/>
    </row>
    <row r="138" spans="16:25" x14ac:dyDescent="0.35">
      <c r="P138" s="12"/>
      <c r="Q138" s="12"/>
      <c r="R138" s="12"/>
      <c r="S138" s="12"/>
      <c r="T138" s="12"/>
      <c r="U138" s="12"/>
      <c r="V138" s="12"/>
      <c r="W138" s="12"/>
      <c r="X138" s="12"/>
      <c r="Y138" s="12"/>
    </row>
  </sheetData>
  <sheetProtection algorithmName="SHA-512" hashValue="02acHZ7nD12+hfMvj3grARJRWVQr44AOeLfBGO19j7irOwCbD3Kbndlr+mWqfoA7UePqRXpo1xN6Yaux96eOCQ==" saltValue="nWSMYxK2+TZ8tf3ZpuQLWQ==" spinCount="100000" sheet="1" objects="1" scenarios="1"/>
  <mergeCells count="8">
    <mergeCell ref="A1:K1"/>
    <mergeCell ref="AA73:AB73"/>
    <mergeCell ref="M44:M67"/>
    <mergeCell ref="B8:H8"/>
    <mergeCell ref="B11:I11"/>
    <mergeCell ref="M29:M42"/>
    <mergeCell ref="AA71:AH71"/>
    <mergeCell ref="AA72:AB72"/>
  </mergeCells>
  <conditionalFormatting sqref="B12:K12">
    <cfRule type="cellIs" dxfId="16" priority="14" operator="equal">
      <formula>"(Voir tableau ci-dessous)"</formula>
    </cfRule>
  </conditionalFormatting>
  <conditionalFormatting sqref="B14:K14">
    <cfRule type="cellIs" dxfId="15" priority="13" operator="equal">
      <formula>"BÂTIMENTS"</formula>
    </cfRule>
  </conditionalFormatting>
  <conditionalFormatting sqref="B18:K18">
    <cfRule type="notContainsBlanks" dxfId="14" priority="12">
      <formula>LEN(TRIM(B18))&gt;0</formula>
    </cfRule>
  </conditionalFormatting>
  <conditionalFormatting sqref="J19:K83">
    <cfRule type="cellIs" dxfId="13" priority="8" operator="equal">
      <formula>"TOUT SUPPRIMER"</formula>
    </cfRule>
  </conditionalFormatting>
  <conditionalFormatting sqref="A4:K4">
    <cfRule type="cellIs" dxfId="12" priority="4" operator="equal">
      <formula>"ELEVAGE"</formula>
    </cfRule>
  </conditionalFormatting>
  <conditionalFormatting sqref="B19:K83">
    <cfRule type="expression" dxfId="11" priority="1">
      <formula>AND(OR($J21="TOUT SUPPRIMER",$K21="TOUT SUPPRIMER"),B$16&lt;=$Y$74)</formula>
    </cfRule>
    <cfRule type="expression" dxfId="10" priority="3">
      <formula>RIGHT($B19,3)="bis"</formula>
    </cfRule>
    <cfRule type="cellIs" dxfId="9" priority="11" operator="equal">
      <formula>"VALIDER"</formula>
    </cfRule>
    <cfRule type="expression" dxfId="8" priority="90">
      <formula>AND($B19&lt;&gt;"",ISEVEN($A19),$B19&lt;&gt;"EMISSIONS TOTALES",B$16&lt;=$Y$74,$B19&lt;&gt;$P$55,$B19&lt;&gt;$P$56,$B19&lt;&gt;$P$57,$B19&lt;&gt;$P$58,$B19&lt;&gt;$P$59,$B19&lt;&gt;$P$60,$B19&lt;&gt;$P$61,$B19&lt;&gt;$P$62)</formula>
    </cfRule>
  </conditionalFormatting>
  <conditionalFormatting sqref="C19:J83">
    <cfRule type="expression" dxfId="7" priority="5">
      <formula>AND(ISNUMBER(C19),D19&lt;&gt;"kg/an")</formula>
    </cfRule>
    <cfRule type="expression" dxfId="6" priority="6">
      <formula>D19="kg/an"</formula>
    </cfRule>
    <cfRule type="cellIs" dxfId="5" priority="89" operator="equal">
      <formula>"kg/an"</formula>
    </cfRule>
  </conditionalFormatting>
  <conditionalFormatting sqref="B19:B83">
    <cfRule type="expression" dxfId="4" priority="7">
      <formula>OR(B19="EMISSIONS TOTALES",B19=$P$55)</formula>
    </cfRule>
    <cfRule type="expression" dxfId="3" priority="10">
      <formula>AND($B19&lt;&gt;"",$B19&lt;&gt;"EMISSIONS TOTALES",$B19&lt;&gt;$P$55,$B19&lt;&gt;$P$56,$B19&lt;&gt;$P$57,$B19&lt;&gt;$P$58,$B19&lt;&gt;$P$59,$B19&lt;&gt;$P$60,$B19&lt;&gt;$P$61,$B19&lt;&gt;$P$62)</formula>
    </cfRule>
  </conditionalFormatting>
  <conditionalFormatting sqref="K19:K83">
    <cfRule type="expression" dxfId="2" priority="94">
      <formula>AND(ISNUMBER(K19),M19&lt;&gt;"kg/an")</formula>
    </cfRule>
    <cfRule type="expression" dxfId="1" priority="95">
      <formula>M19="kg/an"</formula>
    </cfRule>
    <cfRule type="cellIs" dxfId="0" priority="96" operator="equal">
      <formula>"kg/an"</formula>
    </cfRule>
  </conditionalFormatting>
  <pageMargins left="0.7" right="0.7" top="0.75" bottom="0.75" header="0.3" footer="0.3"/>
  <ignoredErrors>
    <ignoredError sqref="J19:J20 J68:J70 J22:J58"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54</vt:i4>
      </vt:variant>
    </vt:vector>
  </HeadingPairs>
  <TitlesOfParts>
    <vt:vector size="60" baseType="lpstr">
      <vt:lpstr>Accueil</vt:lpstr>
      <vt:lpstr>Données d'entrée</vt:lpstr>
      <vt:lpstr>Exploitation</vt:lpstr>
      <vt:lpstr>Emissions</vt:lpstr>
      <vt:lpstr>Synthèse des émissions</vt:lpstr>
      <vt:lpstr>Déclaration</vt:lpstr>
      <vt:lpstr>acide</vt:lpstr>
      <vt:lpstr>Bo</vt:lpstr>
      <vt:lpstr>caillebotis_integral</vt:lpstr>
      <vt:lpstr>caillebotis_partiel</vt:lpstr>
      <vt:lpstr>CH4_fumier_bat</vt:lpstr>
      <vt:lpstr>CH4_liquide_stockage</vt:lpstr>
      <vt:lpstr>CH4_liquide_trait</vt:lpstr>
      <vt:lpstr>CH4_lisier_bat</vt:lpstr>
      <vt:lpstr>CH4_solide_stockage</vt:lpstr>
      <vt:lpstr>CH4_solide_trait</vt:lpstr>
      <vt:lpstr>correspondance_dejections</vt:lpstr>
      <vt:lpstr>correspondance_stockage</vt:lpstr>
      <vt:lpstr>devenir_efflu</vt:lpstr>
      <vt:lpstr>duree_stockage</vt:lpstr>
      <vt:lpstr>epandage_Liquide</vt:lpstr>
      <vt:lpstr>epandage_Solide</vt:lpstr>
      <vt:lpstr>FA_CH4_Stockage</vt:lpstr>
      <vt:lpstr>FA_epandage_liquide</vt:lpstr>
      <vt:lpstr>FA_epandage_solide</vt:lpstr>
      <vt:lpstr>FA_particules_air</vt:lpstr>
      <vt:lpstr>FA_particules_ambiance</vt:lpstr>
      <vt:lpstr>FA_stockage</vt:lpstr>
      <vt:lpstr>fex</vt:lpstr>
      <vt:lpstr>gestion_ambiance</vt:lpstr>
      <vt:lpstr>gestion_batiment</vt:lpstr>
      <vt:lpstr>indicateur_air</vt:lpstr>
      <vt:lpstr>indicateur_ventilation</vt:lpstr>
      <vt:lpstr>liste_alim</vt:lpstr>
      <vt:lpstr>liste_naisseur_engraisseur</vt:lpstr>
      <vt:lpstr>liste_sols</vt:lpstr>
      <vt:lpstr>liste_stock_liquide</vt:lpstr>
      <vt:lpstr>liste_stock_solide</vt:lpstr>
      <vt:lpstr>liste_trait_stock_liquide</vt:lpstr>
      <vt:lpstr>liste_trait_stock_solide</vt:lpstr>
      <vt:lpstr>litiere_paille</vt:lpstr>
      <vt:lpstr>litiere_sciure</vt:lpstr>
      <vt:lpstr>MAT_NEA</vt:lpstr>
      <vt:lpstr>NEA</vt:lpstr>
      <vt:lpstr>NEA_PS</vt:lpstr>
      <vt:lpstr>POIDS</vt:lpstr>
      <vt:lpstr>question_traitement</vt:lpstr>
      <vt:lpstr>Régions</vt:lpstr>
      <vt:lpstr>stockage_liquide</vt:lpstr>
      <vt:lpstr>stockage_solide</vt:lpstr>
      <vt:lpstr>stockage_sortie</vt:lpstr>
      <vt:lpstr>Traitement_air</vt:lpstr>
      <vt:lpstr>traitement_lieu</vt:lpstr>
      <vt:lpstr>traitement_liquide</vt:lpstr>
      <vt:lpstr>traitement_solide</vt:lpstr>
      <vt:lpstr>traitement_sortie</vt:lpstr>
      <vt:lpstr>type_efflu_bat</vt:lpstr>
      <vt:lpstr>type_efflu_post_trait</vt:lpstr>
      <vt:lpstr>type_effluent</vt:lpstr>
      <vt:lpstr>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2021-01-08T10:18:33Z</dcterms:modified>
</cp:coreProperties>
</file>